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80" yWindow="6510" windowWidth="20340" windowHeight="6330"/>
  </bookViews>
  <sheets>
    <sheet name="1st Innings" sheetId="5" r:id="rId1"/>
    <sheet name="2nd Innings" sheetId="8" r:id="rId2"/>
    <sheet name="READ ME Notes" sheetId="9" r:id="rId3"/>
    <sheet name="Umpires Report" sheetId="10" r:id="rId4"/>
  </sheets>
  <definedNames>
    <definedName name="Barbarians" localSheetId="1">'2nd Innings'!$D$58:$D$90</definedName>
    <definedName name="Barbarians">'1st Innings'!$D$58:$D$90</definedName>
    <definedName name="Ceylon" localSheetId="1">'2nd Innings'!$B$58:$B$88</definedName>
    <definedName name="Ceylon">'1st Innings'!$B$58:$B$88</definedName>
    <definedName name="ChairosTigers" localSheetId="1">'2nd Innings'!$L$58:$L$85</definedName>
    <definedName name="ChairosTigers">'1st Innings'!$L$58:$L$85</definedName>
    <definedName name="Challengers" localSheetId="1">'2nd Innings'!$J$58:$J$85</definedName>
    <definedName name="Challengers">'1st Innings'!$J$58:$J$85</definedName>
    <definedName name="Emerio" localSheetId="1">'2nd Innings'!$C$58:$C$95</definedName>
    <definedName name="Emerio">'1st Innings'!$C$58:$C$95</definedName>
    <definedName name="FezRebels" localSheetId="1">'2nd Innings'!$K$58:$K$103</definedName>
    <definedName name="FezRebels">'1st Innings'!$K$58:$K$103</definedName>
    <definedName name="GMIS" localSheetId="1">'2nd Innings'!$H$58:$H$81</definedName>
    <definedName name="GMIS">'1st Innings'!$H$58:$H$81</definedName>
    <definedName name="Indorama" localSheetId="1">'2nd Innings'!$E$58:$E$85</definedName>
    <definedName name="Indorama">'1st Innings'!$E$58:$E$85</definedName>
    <definedName name="Jaguars" localSheetId="1">'2nd Innings'!$P$58:$P$90</definedName>
    <definedName name="Jaguars">'1st Innings'!$P$58:$P$90</definedName>
    <definedName name="Mavecrics" localSheetId="1">'2nd Innings'!$N$58:$N$97</definedName>
    <definedName name="Mavecrics">'1st Innings'!$N$58:$N$97</definedName>
    <definedName name="Menara" localSheetId="1">'2nd Innings'!$F$58:$F$90</definedName>
    <definedName name="Menara">'1st Innings'!$F$58:$F$90</definedName>
    <definedName name="MetroIndians" localSheetId="1">'2nd Innings'!$M$58:$M$83</definedName>
    <definedName name="MetroIndians">'1st Innings'!$M$58:$M$83</definedName>
    <definedName name="SenayanCC" localSheetId="1">'2nd Innings'!$I$58:$I$93</definedName>
    <definedName name="SenayanCC">'1st Innings'!$I$58:$I$93</definedName>
    <definedName name="TKCC" localSheetId="1">'2nd Innings'!$O$58:$O$88</definedName>
    <definedName name="TKCC">'1st Innings'!$O$58:$O$88</definedName>
    <definedName name="WISCI" localSheetId="1">'2nd Innings'!$A$58:$A$93</definedName>
    <definedName name="WISCI">'1st Innings'!$A$58:$A$93</definedName>
    <definedName name="WPPIndia" localSheetId="1">'2nd Innings'!$G$58:$G$80</definedName>
    <definedName name="WPPIndia">'1st Innings'!$G$58:$G$80</definedName>
  </definedNames>
  <calcPr calcId="144525"/>
</workbook>
</file>

<file path=xl/calcChain.xml><?xml version="1.0" encoding="utf-8"?>
<calcChain xmlns="http://schemas.openxmlformats.org/spreadsheetml/2006/main">
  <c r="F85" i="8" l="1"/>
  <c r="B81" i="8" l="1"/>
  <c r="B82" i="8"/>
  <c r="B83" i="8"/>
  <c r="B73" i="8"/>
  <c r="B74" i="8"/>
  <c r="O81" i="8" l="1"/>
  <c r="O82" i="8"/>
  <c r="O83" i="8"/>
  <c r="O84" i="8"/>
  <c r="O85" i="8"/>
  <c r="O86" i="8"/>
  <c r="O87" i="8"/>
  <c r="O88" i="8"/>
  <c r="O89" i="8"/>
  <c r="O90" i="8"/>
  <c r="O91" i="8"/>
  <c r="O92" i="8"/>
  <c r="O93" i="8"/>
  <c r="O94" i="8"/>
  <c r="O95" i="8"/>
  <c r="O96" i="8"/>
  <c r="O97" i="8"/>
  <c r="O98" i="8"/>
  <c r="O99" i="8"/>
  <c r="O100" i="8"/>
  <c r="O101" i="8"/>
  <c r="O102" i="8"/>
  <c r="O103" i="8"/>
  <c r="O104" i="8"/>
  <c r="O105" i="8"/>
  <c r="O106" i="8"/>
  <c r="O107" i="8"/>
  <c r="O108" i="8"/>
  <c r="O109" i="8"/>
  <c r="O110" i="8"/>
  <c r="O111" i="8"/>
  <c r="O112" i="8"/>
  <c r="O113" i="8"/>
  <c r="O114" i="8"/>
  <c r="O115" i="8"/>
  <c r="O116" i="8"/>
  <c r="O117" i="8"/>
  <c r="O118" i="8"/>
  <c r="O119" i="8"/>
  <c r="L121" i="5"/>
  <c r="L142" i="5"/>
  <c r="L141" i="5"/>
  <c r="L140" i="5"/>
  <c r="L139" i="5"/>
  <c r="L138" i="5"/>
  <c r="L137" i="5"/>
  <c r="L136" i="5"/>
  <c r="L135" i="5"/>
  <c r="L134" i="5"/>
  <c r="L133" i="5"/>
  <c r="L131" i="5"/>
  <c r="L130" i="5"/>
  <c r="L129" i="5"/>
  <c r="L128" i="5"/>
  <c r="L127" i="5"/>
  <c r="L126" i="5"/>
  <c r="L125" i="5"/>
  <c r="L124" i="5"/>
  <c r="L123" i="5"/>
  <c r="L122" i="5"/>
  <c r="L132" i="5"/>
  <c r="AT133" i="5" l="1"/>
  <c r="AT134" i="5"/>
  <c r="AT135" i="5"/>
  <c r="AT136" i="5"/>
  <c r="AT137" i="5"/>
  <c r="AT138" i="5"/>
  <c r="AT139" i="5"/>
  <c r="AT140" i="5"/>
  <c r="AT141" i="5"/>
  <c r="AT142" i="5"/>
  <c r="AT132" i="5"/>
  <c r="AT122" i="5"/>
  <c r="AT123" i="5"/>
  <c r="AT124" i="5"/>
  <c r="AT125" i="5"/>
  <c r="AT126" i="5"/>
  <c r="AT127" i="5"/>
  <c r="AT128" i="5"/>
  <c r="AT129" i="5"/>
  <c r="AT130" i="5"/>
  <c r="AT131" i="5"/>
  <c r="AT121" i="5"/>
  <c r="A59" i="8" l="1"/>
  <c r="B59" i="8"/>
  <c r="C59" i="8"/>
  <c r="D59" i="8"/>
  <c r="E59" i="8"/>
  <c r="F59" i="8"/>
  <c r="G59" i="8"/>
  <c r="H59" i="8"/>
  <c r="I59" i="8"/>
  <c r="J59" i="8"/>
  <c r="K59" i="8"/>
  <c r="L59" i="8"/>
  <c r="M59" i="8"/>
  <c r="N59" i="8"/>
  <c r="O59" i="8"/>
  <c r="P59" i="8"/>
  <c r="A60" i="8"/>
  <c r="B60" i="8"/>
  <c r="C60" i="8"/>
  <c r="D60" i="8"/>
  <c r="E60" i="8"/>
  <c r="F60" i="8"/>
  <c r="G60" i="8"/>
  <c r="H60" i="8"/>
  <c r="I60" i="8"/>
  <c r="J60" i="8"/>
  <c r="K60" i="8"/>
  <c r="L60" i="8"/>
  <c r="M60" i="8"/>
  <c r="N60" i="8"/>
  <c r="O60" i="8"/>
  <c r="P60" i="8"/>
  <c r="A61" i="8"/>
  <c r="B61" i="8"/>
  <c r="C61" i="8"/>
  <c r="D61" i="8"/>
  <c r="E61" i="8"/>
  <c r="F61" i="8"/>
  <c r="G61" i="8"/>
  <c r="H61" i="8"/>
  <c r="I61" i="8"/>
  <c r="J61" i="8"/>
  <c r="K61" i="8"/>
  <c r="L61" i="8"/>
  <c r="M61" i="8"/>
  <c r="N61" i="8"/>
  <c r="O61" i="8"/>
  <c r="P61" i="8"/>
  <c r="A62" i="8"/>
  <c r="B62" i="8"/>
  <c r="C62" i="8"/>
  <c r="D62" i="8"/>
  <c r="E62" i="8"/>
  <c r="F62" i="8"/>
  <c r="G62" i="8"/>
  <c r="H62" i="8"/>
  <c r="I62" i="8"/>
  <c r="J62" i="8"/>
  <c r="K62" i="8"/>
  <c r="L62" i="8"/>
  <c r="M62" i="8"/>
  <c r="N62" i="8"/>
  <c r="O62" i="8"/>
  <c r="P62" i="8"/>
  <c r="A63" i="8"/>
  <c r="B63" i="8"/>
  <c r="C63" i="8"/>
  <c r="D63" i="8"/>
  <c r="E63" i="8"/>
  <c r="F63" i="8"/>
  <c r="G63" i="8"/>
  <c r="H63" i="8"/>
  <c r="I63" i="8"/>
  <c r="J63" i="8"/>
  <c r="K63" i="8"/>
  <c r="L63" i="8"/>
  <c r="M63" i="8"/>
  <c r="N63" i="8"/>
  <c r="O63" i="8"/>
  <c r="P63" i="8"/>
  <c r="A64" i="8"/>
  <c r="B64" i="8"/>
  <c r="C64" i="8"/>
  <c r="D64" i="8"/>
  <c r="E64" i="8"/>
  <c r="F64" i="8"/>
  <c r="G64" i="8"/>
  <c r="H64" i="8"/>
  <c r="I64" i="8"/>
  <c r="J64" i="8"/>
  <c r="K64" i="8"/>
  <c r="L64" i="8"/>
  <c r="M64" i="8"/>
  <c r="N64" i="8"/>
  <c r="O64" i="8"/>
  <c r="P64" i="8"/>
  <c r="A65" i="8"/>
  <c r="B65" i="8"/>
  <c r="C65" i="8"/>
  <c r="D65" i="8"/>
  <c r="E65" i="8"/>
  <c r="F65" i="8"/>
  <c r="G65" i="8"/>
  <c r="H65" i="8"/>
  <c r="I65" i="8"/>
  <c r="J65" i="8"/>
  <c r="K65" i="8"/>
  <c r="L65" i="8"/>
  <c r="M65" i="8"/>
  <c r="N65" i="8"/>
  <c r="O65" i="8"/>
  <c r="P65" i="8"/>
  <c r="A66" i="8"/>
  <c r="B66" i="8"/>
  <c r="C66" i="8"/>
  <c r="D66" i="8"/>
  <c r="E66" i="8"/>
  <c r="F66" i="8"/>
  <c r="G66" i="8"/>
  <c r="H66" i="8"/>
  <c r="I66" i="8"/>
  <c r="J66" i="8"/>
  <c r="K66" i="8"/>
  <c r="L66" i="8"/>
  <c r="M66" i="8"/>
  <c r="N66" i="8"/>
  <c r="O66" i="8"/>
  <c r="P66" i="8"/>
  <c r="A67" i="8"/>
  <c r="B67" i="8"/>
  <c r="C67" i="8"/>
  <c r="D67" i="8"/>
  <c r="E67" i="8"/>
  <c r="F67" i="8"/>
  <c r="G67" i="8"/>
  <c r="H67" i="8"/>
  <c r="I67" i="8"/>
  <c r="J67" i="8"/>
  <c r="K67" i="8"/>
  <c r="L67" i="8"/>
  <c r="M67" i="8"/>
  <c r="N67" i="8"/>
  <c r="O67" i="8"/>
  <c r="P67" i="8"/>
  <c r="A68" i="8"/>
  <c r="B68" i="8"/>
  <c r="C68" i="8"/>
  <c r="D68" i="8"/>
  <c r="E68" i="8"/>
  <c r="F68" i="8"/>
  <c r="G68" i="8"/>
  <c r="H68" i="8"/>
  <c r="I68" i="8"/>
  <c r="J68" i="8"/>
  <c r="K68" i="8"/>
  <c r="L68" i="8"/>
  <c r="M68" i="8"/>
  <c r="N68" i="8"/>
  <c r="P68" i="8"/>
  <c r="A69" i="8"/>
  <c r="B69" i="8"/>
  <c r="C69" i="8"/>
  <c r="D69" i="8"/>
  <c r="E69" i="8"/>
  <c r="F69" i="8"/>
  <c r="G69" i="8"/>
  <c r="H69" i="8"/>
  <c r="I69" i="8"/>
  <c r="J69" i="8"/>
  <c r="K69" i="8"/>
  <c r="L69" i="8"/>
  <c r="M69" i="8"/>
  <c r="N69" i="8"/>
  <c r="O68" i="8"/>
  <c r="P69" i="8"/>
  <c r="A70" i="8"/>
  <c r="B70" i="8"/>
  <c r="C70" i="8"/>
  <c r="D70" i="8"/>
  <c r="E70" i="8"/>
  <c r="F70" i="8"/>
  <c r="G70" i="8"/>
  <c r="H70" i="8"/>
  <c r="I70" i="8"/>
  <c r="J70" i="8"/>
  <c r="K70" i="8"/>
  <c r="L70" i="8"/>
  <c r="M70" i="8"/>
  <c r="N70" i="8"/>
  <c r="O69" i="8"/>
  <c r="P70" i="8"/>
  <c r="A71" i="8"/>
  <c r="B71" i="8"/>
  <c r="C71" i="8"/>
  <c r="D71" i="8"/>
  <c r="E71" i="8"/>
  <c r="F71" i="8"/>
  <c r="G71" i="8"/>
  <c r="H71" i="8"/>
  <c r="I71" i="8"/>
  <c r="J71" i="8"/>
  <c r="K71" i="8"/>
  <c r="L71" i="8"/>
  <c r="M71" i="8"/>
  <c r="N71" i="8"/>
  <c r="O70" i="8"/>
  <c r="P71" i="8"/>
  <c r="A72" i="8"/>
  <c r="B72" i="8"/>
  <c r="C72" i="8"/>
  <c r="D72" i="8"/>
  <c r="E72" i="8"/>
  <c r="F72" i="8"/>
  <c r="G72" i="8"/>
  <c r="H72" i="8"/>
  <c r="I72" i="8"/>
  <c r="J72" i="8"/>
  <c r="K72" i="8"/>
  <c r="L72" i="8"/>
  <c r="M72" i="8"/>
  <c r="N72" i="8"/>
  <c r="O71" i="8"/>
  <c r="P72" i="8"/>
  <c r="A73" i="8"/>
  <c r="C73" i="8"/>
  <c r="D73" i="8"/>
  <c r="E73" i="8"/>
  <c r="F73" i="8"/>
  <c r="G73" i="8"/>
  <c r="H73" i="8"/>
  <c r="I73" i="8"/>
  <c r="J73" i="8"/>
  <c r="K73" i="8"/>
  <c r="L73" i="8"/>
  <c r="M73" i="8"/>
  <c r="N73" i="8"/>
  <c r="O72" i="8"/>
  <c r="P73" i="8"/>
  <c r="A74" i="8"/>
  <c r="C74" i="8"/>
  <c r="D74" i="8"/>
  <c r="E74" i="8"/>
  <c r="F74" i="8"/>
  <c r="G74" i="8"/>
  <c r="H74" i="8"/>
  <c r="I74" i="8"/>
  <c r="J74" i="8"/>
  <c r="K74" i="8"/>
  <c r="L74" i="8"/>
  <c r="M74" i="8"/>
  <c r="N74" i="8"/>
  <c r="O73" i="8"/>
  <c r="P74" i="8"/>
  <c r="A75" i="8"/>
  <c r="B75" i="8"/>
  <c r="C75" i="8"/>
  <c r="D75" i="8"/>
  <c r="E75" i="8"/>
  <c r="F75" i="8"/>
  <c r="G75" i="8"/>
  <c r="H75" i="8"/>
  <c r="I75" i="8"/>
  <c r="J75" i="8"/>
  <c r="K75" i="8"/>
  <c r="L75" i="8"/>
  <c r="M75" i="8"/>
  <c r="N75" i="8"/>
  <c r="O74" i="8"/>
  <c r="P75" i="8"/>
  <c r="A76" i="8"/>
  <c r="B76" i="8"/>
  <c r="C76" i="8"/>
  <c r="D76" i="8"/>
  <c r="E76" i="8"/>
  <c r="F76" i="8"/>
  <c r="G76" i="8"/>
  <c r="H76" i="8"/>
  <c r="I76" i="8"/>
  <c r="J76" i="8"/>
  <c r="K76" i="8"/>
  <c r="L76" i="8"/>
  <c r="M76" i="8"/>
  <c r="N76" i="8"/>
  <c r="O75" i="8"/>
  <c r="P76" i="8"/>
  <c r="A77" i="8"/>
  <c r="B77" i="8"/>
  <c r="C77" i="8"/>
  <c r="D77" i="8"/>
  <c r="E77" i="8"/>
  <c r="F77" i="8"/>
  <c r="G77" i="8"/>
  <c r="H77" i="8"/>
  <c r="I77" i="8"/>
  <c r="J77" i="8"/>
  <c r="K77" i="8"/>
  <c r="L77" i="8"/>
  <c r="M77" i="8"/>
  <c r="N77" i="8"/>
  <c r="O76" i="8"/>
  <c r="P77" i="8"/>
  <c r="A78" i="8"/>
  <c r="B78" i="8"/>
  <c r="C78" i="8"/>
  <c r="D78" i="8"/>
  <c r="E78" i="8"/>
  <c r="F78" i="8"/>
  <c r="G78" i="8"/>
  <c r="H78" i="8"/>
  <c r="I78" i="8"/>
  <c r="J78" i="8"/>
  <c r="K78" i="8"/>
  <c r="L78" i="8"/>
  <c r="M78" i="8"/>
  <c r="N78" i="8"/>
  <c r="O77" i="8"/>
  <c r="P78" i="8"/>
  <c r="A79" i="8"/>
  <c r="B79" i="8"/>
  <c r="C79" i="8"/>
  <c r="D79" i="8"/>
  <c r="E79" i="8"/>
  <c r="F79" i="8"/>
  <c r="G79" i="8"/>
  <c r="H79" i="8"/>
  <c r="I79" i="8"/>
  <c r="J79" i="8"/>
  <c r="K79" i="8"/>
  <c r="L79" i="8"/>
  <c r="M79" i="8"/>
  <c r="N79" i="8"/>
  <c r="O78" i="8"/>
  <c r="P79" i="8"/>
  <c r="A80" i="8"/>
  <c r="B80" i="8"/>
  <c r="C80" i="8"/>
  <c r="D80" i="8"/>
  <c r="E80" i="8"/>
  <c r="F80" i="8"/>
  <c r="G80" i="8"/>
  <c r="H80" i="8"/>
  <c r="I80" i="8"/>
  <c r="J80" i="8"/>
  <c r="K80" i="8"/>
  <c r="L80" i="8"/>
  <c r="M80" i="8"/>
  <c r="N80" i="8"/>
  <c r="O79" i="8"/>
  <c r="P80" i="8"/>
  <c r="A81" i="8"/>
  <c r="C81" i="8"/>
  <c r="D81" i="8"/>
  <c r="E81" i="8"/>
  <c r="F81" i="8"/>
  <c r="G81" i="8"/>
  <c r="H81" i="8"/>
  <c r="I81" i="8"/>
  <c r="J81" i="8"/>
  <c r="K81" i="8"/>
  <c r="L81" i="8"/>
  <c r="M81" i="8"/>
  <c r="N81" i="8"/>
  <c r="O80" i="8"/>
  <c r="P81" i="8"/>
  <c r="A82" i="8"/>
  <c r="C82" i="8"/>
  <c r="D82" i="8"/>
  <c r="E82" i="8"/>
  <c r="F82" i="8"/>
  <c r="G82" i="8"/>
  <c r="H82" i="8"/>
  <c r="I82" i="8"/>
  <c r="J82" i="8"/>
  <c r="K82" i="8"/>
  <c r="L82" i="8"/>
  <c r="M82" i="8"/>
  <c r="N82" i="8"/>
  <c r="P82" i="8"/>
  <c r="A83" i="8"/>
  <c r="C83" i="8"/>
  <c r="D83" i="8"/>
  <c r="E83" i="8"/>
  <c r="F83" i="8"/>
  <c r="G83" i="8"/>
  <c r="H83" i="8"/>
  <c r="I83" i="8"/>
  <c r="J83" i="8"/>
  <c r="K83" i="8"/>
  <c r="L83" i="8"/>
  <c r="M83" i="8"/>
  <c r="N83" i="8"/>
  <c r="P83" i="8"/>
  <c r="A84" i="8"/>
  <c r="B84" i="8"/>
  <c r="C84" i="8"/>
  <c r="D84" i="8"/>
  <c r="E84" i="8"/>
  <c r="F84" i="8"/>
  <c r="G84" i="8"/>
  <c r="H84" i="8"/>
  <c r="I84" i="8"/>
  <c r="J84" i="8"/>
  <c r="K84" i="8"/>
  <c r="L84" i="8"/>
  <c r="M84" i="8"/>
  <c r="N84" i="8"/>
  <c r="P84" i="8"/>
  <c r="A85" i="8"/>
  <c r="B85" i="8"/>
  <c r="C85" i="8"/>
  <c r="D85" i="8"/>
  <c r="E85" i="8"/>
  <c r="G85" i="8"/>
  <c r="H85" i="8"/>
  <c r="I85" i="8"/>
  <c r="J85" i="8"/>
  <c r="K85" i="8"/>
  <c r="L85" i="8"/>
  <c r="M85" i="8"/>
  <c r="N85" i="8"/>
  <c r="P85" i="8"/>
  <c r="A86" i="8"/>
  <c r="B86" i="8"/>
  <c r="C86" i="8"/>
  <c r="D86" i="8"/>
  <c r="E86" i="8"/>
  <c r="F86" i="8"/>
  <c r="G86" i="8"/>
  <c r="H86" i="8"/>
  <c r="I86" i="8"/>
  <c r="J86" i="8"/>
  <c r="K86" i="8"/>
  <c r="L86" i="8"/>
  <c r="M86" i="8"/>
  <c r="N86" i="8"/>
  <c r="P86" i="8"/>
  <c r="A87" i="8"/>
  <c r="B87" i="8"/>
  <c r="C87" i="8"/>
  <c r="D87" i="8"/>
  <c r="E87" i="8"/>
  <c r="F87" i="8"/>
  <c r="G87" i="8"/>
  <c r="H87" i="8"/>
  <c r="I87" i="8"/>
  <c r="J87" i="8"/>
  <c r="K87" i="8"/>
  <c r="L87" i="8"/>
  <c r="M87" i="8"/>
  <c r="N87" i="8"/>
  <c r="P87" i="8"/>
  <c r="A88" i="8"/>
  <c r="B88" i="8"/>
  <c r="C88" i="8"/>
  <c r="D88" i="8"/>
  <c r="E88" i="8"/>
  <c r="F88" i="8"/>
  <c r="G88" i="8"/>
  <c r="H88" i="8"/>
  <c r="I88" i="8"/>
  <c r="J88" i="8"/>
  <c r="K88" i="8"/>
  <c r="L88" i="8"/>
  <c r="M88" i="8"/>
  <c r="N88" i="8"/>
  <c r="P88" i="8"/>
  <c r="A89" i="8"/>
  <c r="B89" i="8"/>
  <c r="C89" i="8"/>
  <c r="D89" i="8"/>
  <c r="E89" i="8"/>
  <c r="F89" i="8"/>
  <c r="G89" i="8"/>
  <c r="H89" i="8"/>
  <c r="I89" i="8"/>
  <c r="J89" i="8"/>
  <c r="K89" i="8"/>
  <c r="L89" i="8"/>
  <c r="M89" i="8"/>
  <c r="N89" i="8"/>
  <c r="P89" i="8"/>
  <c r="A90" i="8"/>
  <c r="B90" i="8"/>
  <c r="C90" i="8"/>
  <c r="D90" i="8"/>
  <c r="E90" i="8"/>
  <c r="F90" i="8"/>
  <c r="G90" i="8"/>
  <c r="H90" i="8"/>
  <c r="I90" i="8"/>
  <c r="J90" i="8"/>
  <c r="K90" i="8"/>
  <c r="L90" i="8"/>
  <c r="M90" i="8"/>
  <c r="N90" i="8"/>
  <c r="P90" i="8"/>
  <c r="A91" i="8"/>
  <c r="B91" i="8"/>
  <c r="C91" i="8"/>
  <c r="D91" i="8"/>
  <c r="E91" i="8"/>
  <c r="F91" i="8"/>
  <c r="G91" i="8"/>
  <c r="H91" i="8"/>
  <c r="I91" i="8"/>
  <c r="J91" i="8"/>
  <c r="K91" i="8"/>
  <c r="L91" i="8"/>
  <c r="M91" i="8"/>
  <c r="N91" i="8"/>
  <c r="P91" i="8"/>
  <c r="A92" i="8"/>
  <c r="B92" i="8"/>
  <c r="C92" i="8"/>
  <c r="D92" i="8"/>
  <c r="E92" i="8"/>
  <c r="F92" i="8"/>
  <c r="G92" i="8"/>
  <c r="H92" i="8"/>
  <c r="I92" i="8"/>
  <c r="J92" i="8"/>
  <c r="K92" i="8"/>
  <c r="L92" i="8"/>
  <c r="M92" i="8"/>
  <c r="N92" i="8"/>
  <c r="P92" i="8"/>
  <c r="A93" i="8"/>
  <c r="B93" i="8"/>
  <c r="C93" i="8"/>
  <c r="D93" i="8"/>
  <c r="E93" i="8"/>
  <c r="F93" i="8"/>
  <c r="G93" i="8"/>
  <c r="H93" i="8"/>
  <c r="I93" i="8"/>
  <c r="J93" i="8"/>
  <c r="K93" i="8"/>
  <c r="L93" i="8"/>
  <c r="M93" i="8"/>
  <c r="N93" i="8"/>
  <c r="P93" i="8"/>
  <c r="A94" i="8"/>
  <c r="B94" i="8"/>
  <c r="C94" i="8"/>
  <c r="D94" i="8"/>
  <c r="E94" i="8"/>
  <c r="F94" i="8"/>
  <c r="G94" i="8"/>
  <c r="H94" i="8"/>
  <c r="I94" i="8"/>
  <c r="J94" i="8"/>
  <c r="K94" i="8"/>
  <c r="L94" i="8"/>
  <c r="M94" i="8"/>
  <c r="N94" i="8"/>
  <c r="P94" i="8"/>
  <c r="A95" i="8"/>
  <c r="B95" i="8"/>
  <c r="C95" i="8"/>
  <c r="D95" i="8"/>
  <c r="E95" i="8"/>
  <c r="F95" i="8"/>
  <c r="G95" i="8"/>
  <c r="H95" i="8"/>
  <c r="I95" i="8"/>
  <c r="J95" i="8"/>
  <c r="K95" i="8"/>
  <c r="L95" i="8"/>
  <c r="M95" i="8"/>
  <c r="N95" i="8"/>
  <c r="P95" i="8"/>
  <c r="A96" i="8"/>
  <c r="B96" i="8"/>
  <c r="C96" i="8"/>
  <c r="D96" i="8"/>
  <c r="E96" i="8"/>
  <c r="F96" i="8"/>
  <c r="G96" i="8"/>
  <c r="H96" i="8"/>
  <c r="I96" i="8"/>
  <c r="J96" i="8"/>
  <c r="K96" i="8"/>
  <c r="L96" i="8"/>
  <c r="M96" i="8"/>
  <c r="N96" i="8"/>
  <c r="P96" i="8"/>
  <c r="A97" i="8"/>
  <c r="B97" i="8"/>
  <c r="C97" i="8"/>
  <c r="D97" i="8"/>
  <c r="E97" i="8"/>
  <c r="F97" i="8"/>
  <c r="G97" i="8"/>
  <c r="H97" i="8"/>
  <c r="I97" i="8"/>
  <c r="J97" i="8"/>
  <c r="K97" i="8"/>
  <c r="L97" i="8"/>
  <c r="M97" i="8"/>
  <c r="N97" i="8"/>
  <c r="P97" i="8"/>
  <c r="A98" i="8"/>
  <c r="B98" i="8"/>
  <c r="C98" i="8"/>
  <c r="D98" i="8"/>
  <c r="E98" i="8"/>
  <c r="F98" i="8"/>
  <c r="G98" i="8"/>
  <c r="H98" i="8"/>
  <c r="I98" i="8"/>
  <c r="J98" i="8"/>
  <c r="K98" i="8"/>
  <c r="L98" i="8"/>
  <c r="M98" i="8"/>
  <c r="N98" i="8"/>
  <c r="P98" i="8"/>
  <c r="A99" i="8"/>
  <c r="B99" i="8"/>
  <c r="C99" i="8"/>
  <c r="D99" i="8"/>
  <c r="E99" i="8"/>
  <c r="F99" i="8"/>
  <c r="G99" i="8"/>
  <c r="H99" i="8"/>
  <c r="I99" i="8"/>
  <c r="J99" i="8"/>
  <c r="K99" i="8"/>
  <c r="L99" i="8"/>
  <c r="M99" i="8"/>
  <c r="N99" i="8"/>
  <c r="P99" i="8"/>
  <c r="A100" i="8"/>
  <c r="B100" i="8"/>
  <c r="C100" i="8"/>
  <c r="D100" i="8"/>
  <c r="E100" i="8"/>
  <c r="F100" i="8"/>
  <c r="G100" i="8"/>
  <c r="H100" i="8"/>
  <c r="I100" i="8"/>
  <c r="J100" i="8"/>
  <c r="K100" i="8"/>
  <c r="L100" i="8"/>
  <c r="M100" i="8"/>
  <c r="N100" i="8"/>
  <c r="P100" i="8"/>
  <c r="A101" i="8"/>
  <c r="B101" i="8"/>
  <c r="C101" i="8"/>
  <c r="D101" i="8"/>
  <c r="E101" i="8"/>
  <c r="F101" i="8"/>
  <c r="G101" i="8"/>
  <c r="H101" i="8"/>
  <c r="I101" i="8"/>
  <c r="J101" i="8"/>
  <c r="K101" i="8"/>
  <c r="L101" i="8"/>
  <c r="M101" i="8"/>
  <c r="N101" i="8"/>
  <c r="P101" i="8"/>
  <c r="A102" i="8"/>
  <c r="B102" i="8"/>
  <c r="C102" i="8"/>
  <c r="D102" i="8"/>
  <c r="E102" i="8"/>
  <c r="F102" i="8"/>
  <c r="G102" i="8"/>
  <c r="H102" i="8"/>
  <c r="I102" i="8"/>
  <c r="J102" i="8"/>
  <c r="K102" i="8"/>
  <c r="L102" i="8"/>
  <c r="M102" i="8"/>
  <c r="N102" i="8"/>
  <c r="P102" i="8"/>
  <c r="A103" i="8"/>
  <c r="B103" i="8"/>
  <c r="C103" i="8"/>
  <c r="D103" i="8"/>
  <c r="E103" i="8"/>
  <c r="F103" i="8"/>
  <c r="G103" i="8"/>
  <c r="H103" i="8"/>
  <c r="I103" i="8"/>
  <c r="J103" i="8"/>
  <c r="K103" i="8"/>
  <c r="L103" i="8"/>
  <c r="M103" i="8"/>
  <c r="N103" i="8"/>
  <c r="P103" i="8"/>
  <c r="A104" i="8"/>
  <c r="B104" i="8"/>
  <c r="C104" i="8"/>
  <c r="D104" i="8"/>
  <c r="E104" i="8"/>
  <c r="F104" i="8"/>
  <c r="G104" i="8"/>
  <c r="H104" i="8"/>
  <c r="I104" i="8"/>
  <c r="J104" i="8"/>
  <c r="K104" i="8"/>
  <c r="L104" i="8"/>
  <c r="M104" i="8"/>
  <c r="N104" i="8"/>
  <c r="P104" i="8"/>
  <c r="A105" i="8"/>
  <c r="B105" i="8"/>
  <c r="C105" i="8"/>
  <c r="D105" i="8"/>
  <c r="E105" i="8"/>
  <c r="F105" i="8"/>
  <c r="G105" i="8"/>
  <c r="H105" i="8"/>
  <c r="I105" i="8"/>
  <c r="J105" i="8"/>
  <c r="K105" i="8"/>
  <c r="L105" i="8"/>
  <c r="M105" i="8"/>
  <c r="N105" i="8"/>
  <c r="P105" i="8"/>
  <c r="A106" i="8"/>
  <c r="B106" i="8"/>
  <c r="C106" i="8"/>
  <c r="D106" i="8"/>
  <c r="E106" i="8"/>
  <c r="F106" i="8"/>
  <c r="G106" i="8"/>
  <c r="H106" i="8"/>
  <c r="I106" i="8"/>
  <c r="J106" i="8"/>
  <c r="K106" i="8"/>
  <c r="L106" i="8"/>
  <c r="M106" i="8"/>
  <c r="N106" i="8"/>
  <c r="P106" i="8"/>
  <c r="A107" i="8"/>
  <c r="B107" i="8"/>
  <c r="C107" i="8"/>
  <c r="D107" i="8"/>
  <c r="E107" i="8"/>
  <c r="F107" i="8"/>
  <c r="G107" i="8"/>
  <c r="H107" i="8"/>
  <c r="I107" i="8"/>
  <c r="J107" i="8"/>
  <c r="K107" i="8"/>
  <c r="L107" i="8"/>
  <c r="M107" i="8"/>
  <c r="N107" i="8"/>
  <c r="P107" i="8"/>
  <c r="A108" i="8"/>
  <c r="B108" i="8"/>
  <c r="C108" i="8"/>
  <c r="D108" i="8"/>
  <c r="E108" i="8"/>
  <c r="F108" i="8"/>
  <c r="G108" i="8"/>
  <c r="H108" i="8"/>
  <c r="I108" i="8"/>
  <c r="J108" i="8"/>
  <c r="K108" i="8"/>
  <c r="L108" i="8"/>
  <c r="M108" i="8"/>
  <c r="N108" i="8"/>
  <c r="P108" i="8"/>
  <c r="A109" i="8"/>
  <c r="B109" i="8"/>
  <c r="C109" i="8"/>
  <c r="D109" i="8"/>
  <c r="E109" i="8"/>
  <c r="F109" i="8"/>
  <c r="G109" i="8"/>
  <c r="H109" i="8"/>
  <c r="I109" i="8"/>
  <c r="J109" i="8"/>
  <c r="K109" i="8"/>
  <c r="L109" i="8"/>
  <c r="M109" i="8"/>
  <c r="N109" i="8"/>
  <c r="P109" i="8"/>
  <c r="A110" i="8"/>
  <c r="B110" i="8"/>
  <c r="C110" i="8"/>
  <c r="D110" i="8"/>
  <c r="E110" i="8"/>
  <c r="F110" i="8"/>
  <c r="G110" i="8"/>
  <c r="H110" i="8"/>
  <c r="I110" i="8"/>
  <c r="J110" i="8"/>
  <c r="K110" i="8"/>
  <c r="L110" i="8"/>
  <c r="M110" i="8"/>
  <c r="N110" i="8"/>
  <c r="P110" i="8"/>
  <c r="A111" i="8"/>
  <c r="B111" i="8"/>
  <c r="C111" i="8"/>
  <c r="D111" i="8"/>
  <c r="E111" i="8"/>
  <c r="F111" i="8"/>
  <c r="G111" i="8"/>
  <c r="H111" i="8"/>
  <c r="I111" i="8"/>
  <c r="J111" i="8"/>
  <c r="K111" i="8"/>
  <c r="L111" i="8"/>
  <c r="M111" i="8"/>
  <c r="N111" i="8"/>
  <c r="P111" i="8"/>
  <c r="A112" i="8"/>
  <c r="B112" i="8"/>
  <c r="C112" i="8"/>
  <c r="D112" i="8"/>
  <c r="E112" i="8"/>
  <c r="F112" i="8"/>
  <c r="G112" i="8"/>
  <c r="H112" i="8"/>
  <c r="I112" i="8"/>
  <c r="J112" i="8"/>
  <c r="K112" i="8"/>
  <c r="L112" i="8"/>
  <c r="M112" i="8"/>
  <c r="N112" i="8"/>
  <c r="P112" i="8"/>
  <c r="A113" i="8"/>
  <c r="B113" i="8"/>
  <c r="C113" i="8"/>
  <c r="D113" i="8"/>
  <c r="E113" i="8"/>
  <c r="F113" i="8"/>
  <c r="G113" i="8"/>
  <c r="H113" i="8"/>
  <c r="I113" i="8"/>
  <c r="J113" i="8"/>
  <c r="K113" i="8"/>
  <c r="L113" i="8"/>
  <c r="M113" i="8"/>
  <c r="N113" i="8"/>
  <c r="P113" i="8"/>
  <c r="A114" i="8"/>
  <c r="B114" i="8"/>
  <c r="C114" i="8"/>
  <c r="D114" i="8"/>
  <c r="E114" i="8"/>
  <c r="F114" i="8"/>
  <c r="G114" i="8"/>
  <c r="H114" i="8"/>
  <c r="I114" i="8"/>
  <c r="J114" i="8"/>
  <c r="K114" i="8"/>
  <c r="L114" i="8"/>
  <c r="M114" i="8"/>
  <c r="N114" i="8"/>
  <c r="P114" i="8"/>
  <c r="A115" i="8"/>
  <c r="B115" i="8"/>
  <c r="C115" i="8"/>
  <c r="D115" i="8"/>
  <c r="E115" i="8"/>
  <c r="F115" i="8"/>
  <c r="G115" i="8"/>
  <c r="H115" i="8"/>
  <c r="I115" i="8"/>
  <c r="J115" i="8"/>
  <c r="K115" i="8"/>
  <c r="L115" i="8"/>
  <c r="M115" i="8"/>
  <c r="N115" i="8"/>
  <c r="P115" i="8"/>
  <c r="A116" i="8"/>
  <c r="B116" i="8"/>
  <c r="C116" i="8"/>
  <c r="D116" i="8"/>
  <c r="E116" i="8"/>
  <c r="F116" i="8"/>
  <c r="G116" i="8"/>
  <c r="H116" i="8"/>
  <c r="I116" i="8"/>
  <c r="J116" i="8"/>
  <c r="K116" i="8"/>
  <c r="L116" i="8"/>
  <c r="M116" i="8"/>
  <c r="N116" i="8"/>
  <c r="P116" i="8"/>
  <c r="A117" i="8"/>
  <c r="B117" i="8"/>
  <c r="C117" i="8"/>
  <c r="D117" i="8"/>
  <c r="E117" i="8"/>
  <c r="F117" i="8"/>
  <c r="G117" i="8"/>
  <c r="H117" i="8"/>
  <c r="I117" i="8"/>
  <c r="J117" i="8"/>
  <c r="K117" i="8"/>
  <c r="L117" i="8"/>
  <c r="M117" i="8"/>
  <c r="N117" i="8"/>
  <c r="P117" i="8"/>
  <c r="A118" i="8"/>
  <c r="B118" i="8"/>
  <c r="C118" i="8"/>
  <c r="D118" i="8"/>
  <c r="E118" i="8"/>
  <c r="F118" i="8"/>
  <c r="G118" i="8"/>
  <c r="H118" i="8"/>
  <c r="I118" i="8"/>
  <c r="J118" i="8"/>
  <c r="K118" i="8"/>
  <c r="L118" i="8"/>
  <c r="M118" i="8"/>
  <c r="N118" i="8"/>
  <c r="P118" i="8"/>
  <c r="A119" i="8"/>
  <c r="B119" i="8"/>
  <c r="C119" i="8"/>
  <c r="D119" i="8"/>
  <c r="E119" i="8"/>
  <c r="F119" i="8"/>
  <c r="G119" i="8"/>
  <c r="H119" i="8"/>
  <c r="I119" i="8"/>
  <c r="J119" i="8"/>
  <c r="K119" i="8"/>
  <c r="L119" i="8"/>
  <c r="M119" i="8"/>
  <c r="N119" i="8"/>
  <c r="P119" i="8"/>
  <c r="B58" i="8"/>
  <c r="C58" i="8"/>
  <c r="D58" i="8"/>
  <c r="E58" i="8"/>
  <c r="F58" i="8"/>
  <c r="G58" i="8"/>
  <c r="H58" i="8"/>
  <c r="I58" i="8"/>
  <c r="J58" i="8"/>
  <c r="K58" i="8"/>
  <c r="L58" i="8"/>
  <c r="M58" i="8"/>
  <c r="N58" i="8"/>
  <c r="O58" i="8"/>
  <c r="P58" i="8"/>
  <c r="A58" i="8"/>
  <c r="AR133" i="5"/>
  <c r="AR134" i="5"/>
  <c r="AR135" i="5"/>
  <c r="AR136" i="5"/>
  <c r="AR137" i="5"/>
  <c r="AR138" i="5"/>
  <c r="AR139" i="5"/>
  <c r="AR140" i="5"/>
  <c r="AR141" i="5"/>
  <c r="AR142" i="5"/>
  <c r="AR132" i="5"/>
  <c r="AR122" i="5"/>
  <c r="AR123" i="5"/>
  <c r="AR124" i="5"/>
  <c r="AR125" i="5"/>
  <c r="AR126" i="5"/>
  <c r="AR127" i="5"/>
  <c r="AR128" i="5"/>
  <c r="AR129" i="5"/>
  <c r="AR130" i="5"/>
  <c r="AR131" i="5"/>
  <c r="AR121" i="5"/>
  <c r="K141" i="5" l="1"/>
  <c r="K140" i="5"/>
  <c r="K139" i="5"/>
  <c r="K138" i="5"/>
  <c r="K137" i="5"/>
  <c r="K135" i="5"/>
  <c r="K134" i="5"/>
  <c r="K133" i="5"/>
  <c r="K132" i="5"/>
  <c r="Q17" i="8"/>
  <c r="Q16" i="8"/>
  <c r="Q15" i="8"/>
  <c r="Q14" i="8"/>
  <c r="Q13" i="8"/>
  <c r="Q12" i="8"/>
  <c r="Q11" i="8"/>
  <c r="Q10" i="8"/>
  <c r="Q9" i="8"/>
  <c r="Q8" i="8"/>
  <c r="Y131" i="5"/>
  <c r="X131" i="5"/>
  <c r="W131" i="5"/>
  <c r="V131" i="5"/>
  <c r="U131" i="5"/>
  <c r="AL131" i="5" s="1"/>
  <c r="AM131" i="5" s="1"/>
  <c r="T131" i="5"/>
  <c r="S131" i="5"/>
  <c r="R131" i="5"/>
  <c r="Y130" i="5"/>
  <c r="X130" i="5"/>
  <c r="W130" i="5"/>
  <c r="V130" i="5"/>
  <c r="U130" i="5"/>
  <c r="AL130" i="5" s="1"/>
  <c r="AM130" i="5" s="1"/>
  <c r="T130" i="5"/>
  <c r="S130" i="5"/>
  <c r="R130" i="5"/>
  <c r="Y129" i="5"/>
  <c r="X129" i="5"/>
  <c r="W129" i="5"/>
  <c r="V129" i="5"/>
  <c r="U129" i="5"/>
  <c r="AL129" i="5" s="1"/>
  <c r="AM129" i="5" s="1"/>
  <c r="T129" i="5"/>
  <c r="S129" i="5"/>
  <c r="R129" i="5"/>
  <c r="Y128" i="5"/>
  <c r="X128" i="5"/>
  <c r="W128" i="5"/>
  <c r="V128" i="5"/>
  <c r="U128" i="5"/>
  <c r="AL128" i="5" s="1"/>
  <c r="AM128" i="5" s="1"/>
  <c r="T128" i="5"/>
  <c r="S128" i="5"/>
  <c r="R128" i="5"/>
  <c r="Y127" i="5"/>
  <c r="X127" i="5"/>
  <c r="W127" i="5"/>
  <c r="V127" i="5"/>
  <c r="U127" i="5"/>
  <c r="AL127" i="5" s="1"/>
  <c r="AM127" i="5" s="1"/>
  <c r="T127" i="5"/>
  <c r="S127" i="5"/>
  <c r="R127" i="5"/>
  <c r="Y126" i="5"/>
  <c r="X126" i="5"/>
  <c r="W126" i="5"/>
  <c r="V126" i="5"/>
  <c r="U126" i="5"/>
  <c r="T126" i="5"/>
  <c r="S126" i="5"/>
  <c r="R126" i="5"/>
  <c r="Y125" i="5"/>
  <c r="X125" i="5"/>
  <c r="W125" i="5"/>
  <c r="V125" i="5"/>
  <c r="U125" i="5"/>
  <c r="AL125" i="5" s="1"/>
  <c r="AM125" i="5" s="1"/>
  <c r="T125" i="5"/>
  <c r="S125" i="5"/>
  <c r="R125" i="5"/>
  <c r="Y124" i="5"/>
  <c r="X124" i="5"/>
  <c r="W124" i="5"/>
  <c r="V124" i="5"/>
  <c r="U124" i="5"/>
  <c r="AL124" i="5" s="1"/>
  <c r="AM124" i="5" s="1"/>
  <c r="T124" i="5"/>
  <c r="S124" i="5"/>
  <c r="R124" i="5"/>
  <c r="Y123" i="5"/>
  <c r="X123" i="5"/>
  <c r="W123" i="5"/>
  <c r="V123" i="5"/>
  <c r="U123" i="5"/>
  <c r="T123" i="5"/>
  <c r="S123" i="5"/>
  <c r="R123" i="5"/>
  <c r="Y122" i="5"/>
  <c r="X122" i="5"/>
  <c r="W122" i="5"/>
  <c r="V122" i="5"/>
  <c r="U122" i="5"/>
  <c r="AC122" i="5" s="1"/>
  <c r="AB122" i="5" s="1"/>
  <c r="T122" i="5"/>
  <c r="S122" i="5"/>
  <c r="R122" i="5"/>
  <c r="Y121" i="5"/>
  <c r="X121" i="5"/>
  <c r="W121" i="5"/>
  <c r="V121" i="5"/>
  <c r="U121" i="5"/>
  <c r="T121" i="5"/>
  <c r="S121" i="5"/>
  <c r="R121" i="5"/>
  <c r="Y142" i="5"/>
  <c r="X142" i="5"/>
  <c r="W142" i="5"/>
  <c r="V142" i="5"/>
  <c r="U142" i="5"/>
  <c r="T142" i="5"/>
  <c r="S142" i="5"/>
  <c r="R142" i="5"/>
  <c r="Y141" i="5"/>
  <c r="X141" i="5"/>
  <c r="W141" i="5"/>
  <c r="V141" i="5"/>
  <c r="U141" i="5"/>
  <c r="T141" i="5"/>
  <c r="S141" i="5"/>
  <c r="R141" i="5"/>
  <c r="Y140" i="5"/>
  <c r="X140" i="5"/>
  <c r="W140" i="5"/>
  <c r="V140" i="5"/>
  <c r="U140" i="5"/>
  <c r="AL140" i="5" s="1"/>
  <c r="AM140" i="5" s="1"/>
  <c r="T140" i="5"/>
  <c r="S140" i="5"/>
  <c r="R140" i="5"/>
  <c r="Y139" i="5"/>
  <c r="X139" i="5"/>
  <c r="W139" i="5"/>
  <c r="V139" i="5"/>
  <c r="U139" i="5"/>
  <c r="AL139" i="5" s="1"/>
  <c r="AM139" i="5" s="1"/>
  <c r="T139" i="5"/>
  <c r="S139" i="5"/>
  <c r="R139" i="5"/>
  <c r="Y138" i="5"/>
  <c r="X138" i="5"/>
  <c r="W138" i="5"/>
  <c r="V138" i="5"/>
  <c r="U138" i="5"/>
  <c r="T138" i="5"/>
  <c r="S138" i="5"/>
  <c r="R138" i="5"/>
  <c r="Y137" i="5"/>
  <c r="X137" i="5"/>
  <c r="W137" i="5"/>
  <c r="V137" i="5"/>
  <c r="U137" i="5"/>
  <c r="AL137" i="5" s="1"/>
  <c r="AM137" i="5" s="1"/>
  <c r="T137" i="5"/>
  <c r="S137" i="5"/>
  <c r="R137" i="5"/>
  <c r="Y136" i="5"/>
  <c r="X136" i="5"/>
  <c r="W136" i="5"/>
  <c r="V136" i="5"/>
  <c r="U136" i="5"/>
  <c r="AL136" i="5" s="1"/>
  <c r="AM136" i="5" s="1"/>
  <c r="T136" i="5"/>
  <c r="S136" i="5"/>
  <c r="R136" i="5"/>
  <c r="Y135" i="5"/>
  <c r="X135" i="5"/>
  <c r="W135" i="5"/>
  <c r="V135" i="5"/>
  <c r="U135" i="5"/>
  <c r="AL135" i="5" s="1"/>
  <c r="AM135" i="5" s="1"/>
  <c r="T135" i="5"/>
  <c r="S135" i="5"/>
  <c r="R135" i="5"/>
  <c r="Y134" i="5"/>
  <c r="X134" i="5"/>
  <c r="W134" i="5"/>
  <c r="V134" i="5"/>
  <c r="U134" i="5"/>
  <c r="AL134" i="5" s="1"/>
  <c r="AM134" i="5" s="1"/>
  <c r="T134" i="5"/>
  <c r="S134" i="5"/>
  <c r="R134" i="5"/>
  <c r="Y133" i="5"/>
  <c r="X133" i="5"/>
  <c r="W133" i="5"/>
  <c r="V133" i="5"/>
  <c r="U133" i="5"/>
  <c r="AL133" i="5" s="1"/>
  <c r="AM133" i="5" s="1"/>
  <c r="T133" i="5"/>
  <c r="S133" i="5"/>
  <c r="R133" i="5"/>
  <c r="Y132" i="5"/>
  <c r="X132" i="5"/>
  <c r="W132" i="5"/>
  <c r="V132" i="5"/>
  <c r="U132" i="5"/>
  <c r="T132" i="5"/>
  <c r="S132" i="5"/>
  <c r="R132" i="5"/>
  <c r="N131" i="5"/>
  <c r="AU131" i="5" s="1"/>
  <c r="N130" i="5"/>
  <c r="AU130" i="5" s="1"/>
  <c r="N129" i="5"/>
  <c r="AU129" i="5" s="1"/>
  <c r="N128" i="5"/>
  <c r="AU128" i="5" s="1"/>
  <c r="N127" i="5"/>
  <c r="AU127" i="5" s="1"/>
  <c r="N126" i="5"/>
  <c r="AU126" i="5" s="1"/>
  <c r="N125" i="5"/>
  <c r="AU125" i="5" s="1"/>
  <c r="N124" i="5"/>
  <c r="AU124" i="5" s="1"/>
  <c r="N123" i="5"/>
  <c r="AU123" i="5" s="1"/>
  <c r="N122" i="5"/>
  <c r="AU122" i="5" s="1"/>
  <c r="M131" i="5"/>
  <c r="M130" i="5"/>
  <c r="M129" i="5"/>
  <c r="M128" i="5"/>
  <c r="M127" i="5"/>
  <c r="M126" i="5"/>
  <c r="M125" i="5"/>
  <c r="M124" i="5"/>
  <c r="M123" i="5"/>
  <c r="M122" i="5"/>
  <c r="N121" i="5"/>
  <c r="AU121" i="5" s="1"/>
  <c r="M121" i="5"/>
  <c r="N142" i="5"/>
  <c r="AU142" i="5" s="1"/>
  <c r="M142" i="5"/>
  <c r="N141" i="5"/>
  <c r="AU141" i="5" s="1"/>
  <c r="M141" i="5"/>
  <c r="N140" i="5"/>
  <c r="AU140" i="5" s="1"/>
  <c r="M140" i="5"/>
  <c r="M139" i="5"/>
  <c r="N139" i="5"/>
  <c r="AU139" i="5" s="1"/>
  <c r="N138" i="5"/>
  <c r="AU138" i="5" s="1"/>
  <c r="M138" i="5"/>
  <c r="N137" i="5"/>
  <c r="AU137" i="5" s="1"/>
  <c r="M137" i="5"/>
  <c r="N136" i="5"/>
  <c r="AU136" i="5" s="1"/>
  <c r="M136" i="5"/>
  <c r="N135" i="5"/>
  <c r="AU135" i="5" s="1"/>
  <c r="M135" i="5"/>
  <c r="N134" i="5"/>
  <c r="AU134" i="5" s="1"/>
  <c r="M134" i="5"/>
  <c r="N133" i="5"/>
  <c r="AU133" i="5" s="1"/>
  <c r="M133" i="5"/>
  <c r="N132" i="5"/>
  <c r="AU132" i="5" s="1"/>
  <c r="M132" i="5"/>
  <c r="E133" i="5"/>
  <c r="F133" i="5"/>
  <c r="AA133" i="5" s="1"/>
  <c r="Z133" i="5" s="1"/>
  <c r="G133" i="5"/>
  <c r="H133" i="5"/>
  <c r="I133" i="5"/>
  <c r="J133" i="5"/>
  <c r="E134" i="5"/>
  <c r="F134" i="5"/>
  <c r="AA134" i="5" s="1"/>
  <c r="Z134" i="5" s="1"/>
  <c r="G134" i="5"/>
  <c r="H134" i="5"/>
  <c r="I134" i="5"/>
  <c r="J134" i="5"/>
  <c r="E135" i="5"/>
  <c r="F135" i="5"/>
  <c r="AA135" i="5" s="1"/>
  <c r="Z135" i="5" s="1"/>
  <c r="G135" i="5"/>
  <c r="H135" i="5"/>
  <c r="I135" i="5"/>
  <c r="J135" i="5"/>
  <c r="E136" i="5"/>
  <c r="F136" i="5"/>
  <c r="AA136" i="5" s="1"/>
  <c r="G136" i="5"/>
  <c r="H136" i="5"/>
  <c r="I136" i="5"/>
  <c r="J136" i="5"/>
  <c r="E137" i="5"/>
  <c r="F137" i="5"/>
  <c r="AA137" i="5" s="1"/>
  <c r="Z137" i="5" s="1"/>
  <c r="G137" i="5"/>
  <c r="H137" i="5"/>
  <c r="I137" i="5"/>
  <c r="J137" i="5"/>
  <c r="E138" i="5"/>
  <c r="F138" i="5"/>
  <c r="AA138" i="5" s="1"/>
  <c r="Z138" i="5" s="1"/>
  <c r="G138" i="5"/>
  <c r="H138" i="5"/>
  <c r="I138" i="5"/>
  <c r="J138" i="5"/>
  <c r="E139" i="5"/>
  <c r="F139" i="5"/>
  <c r="AA139" i="5" s="1"/>
  <c r="Z139" i="5" s="1"/>
  <c r="G139" i="5"/>
  <c r="H139" i="5"/>
  <c r="I139" i="5"/>
  <c r="J139" i="5"/>
  <c r="E140" i="5"/>
  <c r="F140" i="5"/>
  <c r="AA140" i="5" s="1"/>
  <c r="Z140" i="5" s="1"/>
  <c r="G140" i="5"/>
  <c r="H140" i="5"/>
  <c r="I140" i="5"/>
  <c r="J140" i="5"/>
  <c r="E141" i="5"/>
  <c r="F141" i="5"/>
  <c r="AA141" i="5" s="1"/>
  <c r="Z141" i="5" s="1"/>
  <c r="G141" i="5"/>
  <c r="H141" i="5"/>
  <c r="I141" i="5"/>
  <c r="J141" i="5"/>
  <c r="E142" i="5"/>
  <c r="F142" i="5"/>
  <c r="G142" i="5"/>
  <c r="H142" i="5"/>
  <c r="I142" i="5"/>
  <c r="J142" i="5"/>
  <c r="K130" i="5"/>
  <c r="K128" i="5"/>
  <c r="J132" i="5"/>
  <c r="I132" i="5"/>
  <c r="H132" i="5"/>
  <c r="G132" i="5"/>
  <c r="F132" i="5"/>
  <c r="AA132" i="5" s="1"/>
  <c r="E132" i="5"/>
  <c r="D133" i="5"/>
  <c r="D134" i="5"/>
  <c r="D135" i="5"/>
  <c r="D136" i="5"/>
  <c r="D137" i="5"/>
  <c r="D138" i="5"/>
  <c r="D139" i="5"/>
  <c r="D140" i="5"/>
  <c r="D141" i="5"/>
  <c r="D142" i="5"/>
  <c r="D132" i="5"/>
  <c r="A133" i="5"/>
  <c r="AS133" i="5" s="1"/>
  <c r="B133" i="5"/>
  <c r="A134" i="5"/>
  <c r="AS134" i="5" s="1"/>
  <c r="B134" i="5"/>
  <c r="A135" i="5"/>
  <c r="AS135" i="5" s="1"/>
  <c r="B135" i="5"/>
  <c r="A136" i="5"/>
  <c r="AS136" i="5" s="1"/>
  <c r="B136" i="5"/>
  <c r="A137" i="5"/>
  <c r="AS137" i="5" s="1"/>
  <c r="B137" i="5"/>
  <c r="A138" i="5"/>
  <c r="AS138" i="5" s="1"/>
  <c r="B138" i="5"/>
  <c r="A139" i="5"/>
  <c r="AS139" i="5" s="1"/>
  <c r="B139" i="5"/>
  <c r="A140" i="5"/>
  <c r="AS140" i="5" s="1"/>
  <c r="B140" i="5"/>
  <c r="A141" i="5"/>
  <c r="AS141" i="5" s="1"/>
  <c r="B141" i="5"/>
  <c r="A142" i="5"/>
  <c r="AS142" i="5" s="1"/>
  <c r="B142" i="5"/>
  <c r="A132" i="5"/>
  <c r="AS132" i="5" s="1"/>
  <c r="B132" i="5"/>
  <c r="Q10" i="5"/>
  <c r="K124" i="5" s="1"/>
  <c r="Q11" i="5"/>
  <c r="K125" i="5" s="1"/>
  <c r="Q12" i="5"/>
  <c r="Q13" i="5"/>
  <c r="K127" i="5" s="1"/>
  <c r="Q14" i="5"/>
  <c r="Q15" i="5"/>
  <c r="K129" i="5" s="1"/>
  <c r="Q16" i="5"/>
  <c r="Q17" i="5"/>
  <c r="K131" i="5" s="1"/>
  <c r="Q9" i="5"/>
  <c r="K123" i="5" s="1"/>
  <c r="Q8" i="5"/>
  <c r="K121" i="5" s="1"/>
  <c r="A122" i="5"/>
  <c r="AS122" i="5" s="1"/>
  <c r="B122" i="5"/>
  <c r="D122" i="5"/>
  <c r="E122" i="5"/>
  <c r="F122" i="5"/>
  <c r="G122" i="5"/>
  <c r="H122" i="5"/>
  <c r="I122" i="5"/>
  <c r="J122" i="5"/>
  <c r="A123" i="5"/>
  <c r="AS123" i="5" s="1"/>
  <c r="B123" i="5"/>
  <c r="D123" i="5"/>
  <c r="E123" i="5"/>
  <c r="F123" i="5"/>
  <c r="G123" i="5"/>
  <c r="H123" i="5"/>
  <c r="I123" i="5"/>
  <c r="J123" i="5"/>
  <c r="A124" i="5"/>
  <c r="AS124" i="5" s="1"/>
  <c r="B124" i="5"/>
  <c r="D124" i="5"/>
  <c r="E124" i="5"/>
  <c r="F124" i="5"/>
  <c r="AA124" i="5" s="1"/>
  <c r="Z124" i="5" s="1"/>
  <c r="G124" i="5"/>
  <c r="H124" i="5"/>
  <c r="I124" i="5"/>
  <c r="J124" i="5"/>
  <c r="A125" i="5"/>
  <c r="AS125" i="5" s="1"/>
  <c r="B125" i="5"/>
  <c r="D125" i="5"/>
  <c r="E125" i="5"/>
  <c r="F125" i="5"/>
  <c r="AA125" i="5" s="1"/>
  <c r="Z125" i="5" s="1"/>
  <c r="G125" i="5"/>
  <c r="H125" i="5"/>
  <c r="I125" i="5"/>
  <c r="J125" i="5"/>
  <c r="A126" i="5"/>
  <c r="AS126" i="5" s="1"/>
  <c r="B126" i="5"/>
  <c r="D126" i="5"/>
  <c r="E126" i="5"/>
  <c r="F126" i="5"/>
  <c r="G126" i="5"/>
  <c r="H126" i="5"/>
  <c r="I126" i="5"/>
  <c r="J126" i="5"/>
  <c r="A127" i="5"/>
  <c r="AS127" i="5" s="1"/>
  <c r="B127" i="5"/>
  <c r="D127" i="5"/>
  <c r="E127" i="5"/>
  <c r="F127" i="5"/>
  <c r="G127" i="5"/>
  <c r="H127" i="5"/>
  <c r="I127" i="5"/>
  <c r="J127" i="5"/>
  <c r="A128" i="5"/>
  <c r="AS128" i="5" s="1"/>
  <c r="B128" i="5"/>
  <c r="D128" i="5"/>
  <c r="E128" i="5"/>
  <c r="F128" i="5"/>
  <c r="G128" i="5"/>
  <c r="H128" i="5"/>
  <c r="I128" i="5"/>
  <c r="J128" i="5"/>
  <c r="A129" i="5"/>
  <c r="AS129" i="5" s="1"/>
  <c r="B129" i="5"/>
  <c r="D129" i="5"/>
  <c r="E129" i="5"/>
  <c r="F129" i="5"/>
  <c r="G129" i="5"/>
  <c r="H129" i="5"/>
  <c r="I129" i="5"/>
  <c r="J129" i="5"/>
  <c r="A130" i="5"/>
  <c r="AS130" i="5" s="1"/>
  <c r="B130" i="5"/>
  <c r="D130" i="5"/>
  <c r="E130" i="5"/>
  <c r="F130" i="5"/>
  <c r="G130" i="5"/>
  <c r="H130" i="5"/>
  <c r="I130" i="5"/>
  <c r="J130" i="5"/>
  <c r="A131" i="5"/>
  <c r="AS131" i="5" s="1"/>
  <c r="B131" i="5"/>
  <c r="D131" i="5"/>
  <c r="E131" i="5"/>
  <c r="F131" i="5"/>
  <c r="AJ131" i="5" s="1"/>
  <c r="G131" i="5"/>
  <c r="H131" i="5"/>
  <c r="I131" i="5"/>
  <c r="J131" i="5"/>
  <c r="J121" i="5"/>
  <c r="I121" i="5"/>
  <c r="H121" i="5"/>
  <c r="G121" i="5"/>
  <c r="F121" i="5"/>
  <c r="E121" i="5"/>
  <c r="D121" i="5"/>
  <c r="B121" i="5"/>
  <c r="A121" i="5"/>
  <c r="AS121" i="5" s="1"/>
  <c r="H16" i="5"/>
  <c r="H15" i="5"/>
  <c r="H13" i="5"/>
  <c r="F19" i="5"/>
  <c r="F20" i="5" s="1"/>
  <c r="J37" i="8"/>
  <c r="I37" i="8"/>
  <c r="H37" i="8"/>
  <c r="G37" i="8"/>
  <c r="F37" i="8"/>
  <c r="E37" i="8"/>
  <c r="L36" i="8"/>
  <c r="K36" i="8"/>
  <c r="L35" i="8"/>
  <c r="K35" i="8"/>
  <c r="L34" i="8"/>
  <c r="K34" i="8"/>
  <c r="L33" i="8"/>
  <c r="K33" i="8"/>
  <c r="L32" i="8"/>
  <c r="K32" i="8"/>
  <c r="L31" i="8"/>
  <c r="K31" i="8"/>
  <c r="L30" i="8"/>
  <c r="K30" i="8"/>
  <c r="L29" i="8"/>
  <c r="K29" i="8"/>
  <c r="L28" i="8"/>
  <c r="K28" i="8"/>
  <c r="L27" i="8"/>
  <c r="K27" i="8"/>
  <c r="L26" i="8"/>
  <c r="K26" i="8"/>
  <c r="F19" i="8"/>
  <c r="F20" i="8" s="1"/>
  <c r="N18" i="8" s="1"/>
  <c r="Q18" i="8" s="1"/>
  <c r="K142" i="5" s="1"/>
  <c r="H20" i="8"/>
  <c r="H18" i="8"/>
  <c r="H17" i="8"/>
  <c r="H16" i="8"/>
  <c r="H15" i="8"/>
  <c r="H14" i="8"/>
  <c r="H13" i="8"/>
  <c r="H12" i="8"/>
  <c r="H11" i="8"/>
  <c r="H10" i="8"/>
  <c r="H9" i="8"/>
  <c r="H8" i="8"/>
  <c r="H20" i="5"/>
  <c r="J37" i="5"/>
  <c r="I37" i="5"/>
  <c r="H37" i="5"/>
  <c r="G37" i="5"/>
  <c r="F37" i="5"/>
  <c r="E37" i="5"/>
  <c r="L36" i="5"/>
  <c r="K36" i="5"/>
  <c r="L35" i="5"/>
  <c r="K35" i="5"/>
  <c r="L34" i="5"/>
  <c r="K34" i="5"/>
  <c r="L33" i="5"/>
  <c r="K33" i="5"/>
  <c r="L32" i="5"/>
  <c r="K32" i="5"/>
  <c r="L31" i="5"/>
  <c r="K31" i="5"/>
  <c r="L30" i="5"/>
  <c r="K30" i="5"/>
  <c r="L29" i="5"/>
  <c r="K29" i="5"/>
  <c r="L28" i="5"/>
  <c r="K28" i="5"/>
  <c r="L27" i="5"/>
  <c r="K27" i="5"/>
  <c r="L26" i="5"/>
  <c r="K26" i="5"/>
  <c r="H18" i="5"/>
  <c r="H17" i="5"/>
  <c r="H14" i="5"/>
  <c r="H12" i="5"/>
  <c r="H11" i="5"/>
  <c r="H10" i="5"/>
  <c r="H9" i="5"/>
  <c r="H8" i="5"/>
  <c r="AA142" i="5" l="1"/>
  <c r="Z142" i="5" s="1"/>
  <c r="AJ129" i="5"/>
  <c r="AJ130" i="5"/>
  <c r="AA127" i="5"/>
  <c r="Z127" i="5" s="1"/>
  <c r="AJ127" i="5"/>
  <c r="P26" i="5"/>
  <c r="AJ128" i="5"/>
  <c r="AC132" i="5"/>
  <c r="AB132" i="5" s="1"/>
  <c r="AL132" i="5"/>
  <c r="AM132" i="5" s="1"/>
  <c r="AC138" i="5"/>
  <c r="AB138" i="5" s="1"/>
  <c r="AL138" i="5"/>
  <c r="AM138" i="5" s="1"/>
  <c r="AC141" i="5"/>
  <c r="AB141" i="5" s="1"/>
  <c r="AL141" i="5"/>
  <c r="AM141" i="5" s="1"/>
  <c r="AN132" i="5"/>
  <c r="AN133" i="5"/>
  <c r="AN134" i="5"/>
  <c r="AN135" i="5"/>
  <c r="AN136" i="5"/>
  <c r="AN137" i="5"/>
  <c r="AN138" i="5"/>
  <c r="AN139" i="5"/>
  <c r="AN140" i="5"/>
  <c r="AN141" i="5"/>
  <c r="AN142" i="5"/>
  <c r="AC142" i="5"/>
  <c r="AB142" i="5" s="1"/>
  <c r="AL142" i="5"/>
  <c r="AM142" i="5" s="1"/>
  <c r="AC121" i="5"/>
  <c r="AB121" i="5" s="1"/>
  <c r="AL121" i="5"/>
  <c r="AM121" i="5" s="1"/>
  <c r="AC123" i="5"/>
  <c r="AB123" i="5" s="1"/>
  <c r="AL123" i="5"/>
  <c r="AM123" i="5" s="1"/>
  <c r="AC126" i="5"/>
  <c r="AB126" i="5" s="1"/>
  <c r="AL126" i="5"/>
  <c r="AM126" i="5" s="1"/>
  <c r="AN121" i="5"/>
  <c r="AN123" i="5"/>
  <c r="AN124" i="5"/>
  <c r="AN125" i="5"/>
  <c r="AN126" i="5"/>
  <c r="AN127" i="5"/>
  <c r="AN128" i="5"/>
  <c r="AN129" i="5"/>
  <c r="AN130" i="5"/>
  <c r="AN131" i="5"/>
  <c r="AC139" i="5"/>
  <c r="AB139" i="5" s="1"/>
  <c r="AC140" i="5"/>
  <c r="AB140" i="5" s="1"/>
  <c r="AC128" i="5"/>
  <c r="AB128" i="5" s="1"/>
  <c r="AC129" i="5"/>
  <c r="AC130" i="5"/>
  <c r="AB130" i="5" s="1"/>
  <c r="AC131" i="5"/>
  <c r="AB131" i="5" s="1"/>
  <c r="AC134" i="5"/>
  <c r="AB134" i="5" s="1"/>
  <c r="AC136" i="5"/>
  <c r="AB136" i="5" s="1"/>
  <c r="AC137" i="5"/>
  <c r="AB137" i="5" s="1"/>
  <c r="AC124" i="5"/>
  <c r="AB124" i="5" s="1"/>
  <c r="AC125" i="5"/>
  <c r="AB125" i="5" s="1"/>
  <c r="N18" i="5"/>
  <c r="Q18" i="5" s="1"/>
  <c r="K122" i="5" s="1"/>
  <c r="O125" i="5"/>
  <c r="O133" i="5"/>
  <c r="O137" i="5"/>
  <c r="O141" i="5"/>
  <c r="O129" i="5"/>
  <c r="O124" i="5"/>
  <c r="O128" i="5"/>
  <c r="O138" i="5"/>
  <c r="O121" i="5"/>
  <c r="O123" i="5"/>
  <c r="O127" i="5"/>
  <c r="O131" i="5"/>
  <c r="O134" i="5"/>
  <c r="O139" i="5"/>
  <c r="O142" i="5"/>
  <c r="O135" i="5"/>
  <c r="O132" i="5"/>
  <c r="O136" i="5"/>
  <c r="O140" i="5"/>
  <c r="O122" i="5"/>
  <c r="O126" i="5"/>
  <c r="O130" i="5"/>
  <c r="AN122" i="5"/>
  <c r="AJ121" i="5"/>
  <c r="AA131" i="5"/>
  <c r="Z131" i="5" s="1"/>
  <c r="AA128" i="5"/>
  <c r="Z128" i="5" s="1"/>
  <c r="AA123" i="5"/>
  <c r="Z123" i="5" s="1"/>
  <c r="AJ140" i="5"/>
  <c r="AJ136" i="5"/>
  <c r="AJ132" i="5"/>
  <c r="AJ123" i="5"/>
  <c r="AA129" i="5"/>
  <c r="Z129" i="5" s="1"/>
  <c r="AA126" i="5"/>
  <c r="Z126" i="5" s="1"/>
  <c r="AJ141" i="5"/>
  <c r="AJ137" i="5"/>
  <c r="AJ133" i="5"/>
  <c r="AJ124" i="5"/>
  <c r="AA121" i="5"/>
  <c r="Z121" i="5" s="1"/>
  <c r="P29" i="5"/>
  <c r="AJ142" i="5"/>
  <c r="AJ138" i="5"/>
  <c r="AJ134" i="5"/>
  <c r="AJ125" i="5"/>
  <c r="AL122" i="5"/>
  <c r="AM122" i="5" s="1"/>
  <c r="AA130" i="5"/>
  <c r="Z130" i="5" s="1"/>
  <c r="AA122" i="5"/>
  <c r="Z122" i="5" s="1"/>
  <c r="AJ139" i="5"/>
  <c r="AJ135" i="5"/>
  <c r="AJ126" i="5"/>
  <c r="AJ122" i="5"/>
  <c r="K136" i="5"/>
  <c r="Z132" i="5"/>
  <c r="Z136" i="5"/>
  <c r="P23" i="8"/>
  <c r="AC127" i="5"/>
  <c r="AB127" i="5" s="1"/>
  <c r="AB129" i="5"/>
  <c r="P23" i="5"/>
  <c r="AC135" i="5"/>
  <c r="AB135" i="5" s="1"/>
  <c r="AC133" i="5"/>
  <c r="AB133" i="5" s="1"/>
  <c r="AK138" i="5" l="1"/>
  <c r="AK139" i="5"/>
  <c r="AD139" i="5" s="1"/>
  <c r="AK128" i="5"/>
  <c r="AD128" i="5" s="1"/>
  <c r="AK131" i="5"/>
  <c r="AK127" i="5"/>
  <c r="AD127" i="5" s="1"/>
  <c r="AK130" i="5"/>
  <c r="AK129" i="5"/>
  <c r="AD129" i="5" s="1"/>
  <c r="AK141" i="5"/>
  <c r="AD141" i="5" s="1"/>
  <c r="AK134" i="5"/>
  <c r="AD134" i="5" s="1"/>
  <c r="AK137" i="5"/>
  <c r="AD137" i="5" s="1"/>
  <c r="AK140" i="5"/>
  <c r="AD140" i="5" s="1"/>
  <c r="K126" i="5"/>
  <c r="AK123" i="5"/>
  <c r="AD123" i="5" s="1"/>
  <c r="P32" i="5"/>
  <c r="AK124" i="5"/>
  <c r="AD124" i="5" s="1"/>
  <c r="AK126" i="5"/>
  <c r="AD126" i="5" s="1"/>
  <c r="AK125" i="5"/>
  <c r="AD125" i="5" s="1"/>
  <c r="AK122" i="5"/>
  <c r="AD122" i="5" s="1"/>
  <c r="AK142" i="5"/>
  <c r="AD142" i="5" s="1"/>
  <c r="AK133" i="5"/>
  <c r="AD133" i="5" s="1"/>
  <c r="AK136" i="5"/>
  <c r="AD136" i="5" s="1"/>
  <c r="AK121" i="5"/>
  <c r="AD121" i="5" s="1"/>
  <c r="AK135" i="5"/>
  <c r="AD135" i="5" s="1"/>
  <c r="AN143" i="5"/>
  <c r="AK132" i="5"/>
  <c r="AD132" i="5" s="1"/>
  <c r="Q129" i="5"/>
  <c r="Q124" i="5"/>
  <c r="Q140" i="5"/>
  <c r="Q142" i="5"/>
  <c r="Q127" i="5"/>
  <c r="Q128" i="5"/>
  <c r="Q137" i="5"/>
  <c r="Q126" i="5"/>
  <c r="Q132" i="5"/>
  <c r="Q134" i="5"/>
  <c r="Q121" i="5"/>
  <c r="Q125" i="5"/>
  <c r="Q130" i="5"/>
  <c r="Q136" i="5"/>
  <c r="Q139" i="5"/>
  <c r="Q123" i="5"/>
  <c r="Q133" i="5"/>
  <c r="Q122" i="5"/>
  <c r="Q135" i="5"/>
  <c r="Q131" i="5"/>
  <c r="Q138" i="5"/>
  <c r="Q141" i="5"/>
  <c r="AD131" i="5"/>
  <c r="AD138" i="5"/>
  <c r="AD130" i="5"/>
  <c r="P131" i="5" l="1"/>
  <c r="AH131" i="5" s="1"/>
  <c r="P126" i="5"/>
  <c r="AH126" i="5" s="1"/>
  <c r="P132" i="5"/>
  <c r="AH132" i="5" s="1"/>
  <c r="P141" i="5"/>
  <c r="AH141" i="5" s="1"/>
  <c r="P122" i="5"/>
  <c r="AH122" i="5" s="1"/>
  <c r="P136" i="5"/>
  <c r="AH136" i="5" s="1"/>
  <c r="P134" i="5"/>
  <c r="AH134" i="5" s="1"/>
  <c r="P128" i="5"/>
  <c r="AH128" i="5" s="1"/>
  <c r="P135" i="5"/>
  <c r="AH135" i="5" s="1"/>
  <c r="P139" i="5"/>
  <c r="AH139" i="5" s="1"/>
  <c r="P121" i="5"/>
  <c r="AH121" i="5" s="1"/>
  <c r="P137" i="5"/>
  <c r="AH137" i="5" s="1"/>
  <c r="P140" i="5"/>
  <c r="AH140" i="5" s="1"/>
  <c r="P125" i="5"/>
  <c r="AH125" i="5" s="1"/>
  <c r="P138" i="5"/>
  <c r="AH138" i="5" s="1"/>
  <c r="P130" i="5"/>
  <c r="AH130" i="5" s="1"/>
  <c r="P127" i="5"/>
  <c r="AH127" i="5" s="1"/>
  <c r="P129" i="5"/>
  <c r="AH129" i="5" s="1"/>
  <c r="P123" i="5"/>
  <c r="AH123" i="5" s="1"/>
  <c r="P142" i="5"/>
  <c r="AH142" i="5" s="1"/>
  <c r="P133" i="5"/>
  <c r="AH133" i="5" s="1"/>
  <c r="P124" i="5"/>
  <c r="AH124" i="5" s="1"/>
  <c r="AO124" i="5"/>
  <c r="AO129" i="5"/>
  <c r="AO134" i="5"/>
  <c r="AO125" i="5"/>
  <c r="AO142" i="5"/>
  <c r="AO133" i="5"/>
  <c r="AO138" i="5"/>
  <c r="AO123" i="5"/>
  <c r="AO130" i="5"/>
  <c r="AO121" i="5"/>
  <c r="AO126" i="5"/>
  <c r="AO132" i="5"/>
  <c r="AO127" i="5"/>
  <c r="AO128" i="5"/>
  <c r="AO135" i="5"/>
  <c r="AO139" i="5"/>
  <c r="AO131" i="5"/>
  <c r="AO140" i="5"/>
  <c r="AO137" i="5"/>
  <c r="AO141" i="5"/>
  <c r="AO136" i="5"/>
  <c r="AO122" i="5"/>
  <c r="AD143" i="5"/>
  <c r="AH143" i="5" l="1"/>
  <c r="AO143" i="5"/>
  <c r="AP138" i="5" s="1"/>
  <c r="AQ138" i="5" s="1"/>
  <c r="AE141" i="5"/>
  <c r="AF141" i="5" s="1"/>
  <c r="AE133" i="5"/>
  <c r="AF133" i="5" s="1"/>
  <c r="AE131" i="5"/>
  <c r="AF131" i="5" s="1"/>
  <c r="AE126" i="5"/>
  <c r="AF126" i="5" s="1"/>
  <c r="AE134" i="5"/>
  <c r="AF134" i="5" s="1"/>
  <c r="AE128" i="5"/>
  <c r="AF128" i="5" s="1"/>
  <c r="AE124" i="5"/>
  <c r="AF124" i="5" s="1"/>
  <c r="AE135" i="5"/>
  <c r="AF135" i="5" s="1"/>
  <c r="AE123" i="5"/>
  <c r="AF123" i="5" s="1"/>
  <c r="AE121" i="5"/>
  <c r="AF121" i="5" s="1"/>
  <c r="AE137" i="5"/>
  <c r="AF137" i="5" s="1"/>
  <c r="AE129" i="5"/>
  <c r="AF129" i="5" s="1"/>
  <c r="AE140" i="5"/>
  <c r="AF140" i="5" s="1"/>
  <c r="AE130" i="5"/>
  <c r="AF130" i="5" s="1"/>
  <c r="AE138" i="5"/>
  <c r="AF138" i="5" s="1"/>
  <c r="AE132" i="5"/>
  <c r="AF132" i="5" s="1"/>
  <c r="AE136" i="5"/>
  <c r="AF136" i="5" s="1"/>
  <c r="AE139" i="5"/>
  <c r="AF139" i="5" s="1"/>
  <c r="AE142" i="5"/>
  <c r="AF142" i="5" s="1"/>
  <c r="AE127" i="5"/>
  <c r="AF127" i="5" s="1"/>
  <c r="AE122" i="5"/>
  <c r="AF122" i="5" s="1"/>
  <c r="AE125" i="5"/>
  <c r="AF125" i="5" s="1"/>
  <c r="AI131" i="5" l="1"/>
  <c r="AP129" i="5"/>
  <c r="AQ129" i="5" s="1"/>
  <c r="AG129" i="5" s="1"/>
  <c r="AI129" i="5" s="1"/>
  <c r="AP140" i="5"/>
  <c r="AQ140" i="5" s="1"/>
  <c r="AG140" i="5" s="1"/>
  <c r="AI140" i="5" s="1"/>
  <c r="AP123" i="5"/>
  <c r="AQ123" i="5" s="1"/>
  <c r="AG123" i="5" s="1"/>
  <c r="AI123" i="5" s="1"/>
  <c r="AP127" i="5"/>
  <c r="AQ127" i="5" s="1"/>
  <c r="AG127" i="5" s="1"/>
  <c r="AI127" i="5" s="1"/>
  <c r="AP131" i="5"/>
  <c r="AQ131" i="5" s="1"/>
  <c r="AG131" i="5" s="1"/>
  <c r="AP139" i="5"/>
  <c r="AQ139" i="5" s="1"/>
  <c r="AG139" i="5" s="1"/>
  <c r="AI139" i="5" s="1"/>
  <c r="AP121" i="5"/>
  <c r="AQ121" i="5" s="1"/>
  <c r="AP130" i="5"/>
  <c r="AQ130" i="5" s="1"/>
  <c r="AG130" i="5" s="1"/>
  <c r="AI130" i="5" s="1"/>
  <c r="AP134" i="5"/>
  <c r="AQ134" i="5" s="1"/>
  <c r="AG134" i="5" s="1"/>
  <c r="AI134" i="5" s="1"/>
  <c r="AP137" i="5"/>
  <c r="AQ137" i="5" s="1"/>
  <c r="AG137" i="5" s="1"/>
  <c r="AI137" i="5" s="1"/>
  <c r="AP124" i="5"/>
  <c r="AP132" i="5"/>
  <c r="AP136" i="5"/>
  <c r="AQ136" i="5" s="1"/>
  <c r="AG136" i="5" s="1"/>
  <c r="AI136" i="5" s="1"/>
  <c r="AP128" i="5"/>
  <c r="AP126" i="5"/>
  <c r="AP142" i="5"/>
  <c r="AP133" i="5"/>
  <c r="AP125" i="5"/>
  <c r="AQ125" i="5" s="1"/>
  <c r="AG125" i="5" s="1"/>
  <c r="AI125" i="5" s="1"/>
  <c r="AP141" i="5"/>
  <c r="AP135" i="5"/>
  <c r="AP122" i="5"/>
  <c r="AQ122" i="5" s="1"/>
  <c r="AG122" i="5" s="1"/>
  <c r="AI122" i="5" s="1"/>
  <c r="AF143" i="5"/>
  <c r="AG138" i="5"/>
  <c r="AI138" i="5" s="1"/>
  <c r="AE143" i="5"/>
  <c r="AQ135" i="5" l="1"/>
  <c r="AG135" i="5" s="1"/>
  <c r="AI135" i="5" s="1"/>
  <c r="AQ132" i="5"/>
  <c r="AG132" i="5" s="1"/>
  <c r="AI132" i="5" s="1"/>
  <c r="AQ133" i="5"/>
  <c r="AG133" i="5" s="1"/>
  <c r="AI133" i="5" s="1"/>
  <c r="AQ128" i="5"/>
  <c r="AG128" i="5" s="1"/>
  <c r="AI128" i="5" s="1"/>
  <c r="AQ142" i="5"/>
  <c r="AG142" i="5" s="1"/>
  <c r="AI142" i="5" s="1"/>
  <c r="AQ141" i="5"/>
  <c r="AG141" i="5" s="1"/>
  <c r="AI141" i="5" s="1"/>
  <c r="AQ126" i="5"/>
  <c r="AG126" i="5" s="1"/>
  <c r="AI126" i="5" s="1"/>
  <c r="AQ124" i="5"/>
  <c r="AG124" i="5" s="1"/>
  <c r="AI124" i="5" s="1"/>
  <c r="AG121" i="5"/>
  <c r="AI121" i="5" s="1"/>
  <c r="AP143" i="5"/>
  <c r="AQ143" i="5" l="1"/>
  <c r="AI143" i="5"/>
  <c r="AG143" i="5"/>
</calcChain>
</file>

<file path=xl/sharedStrings.xml><?xml version="1.0" encoding="utf-8"?>
<sst xmlns="http://schemas.openxmlformats.org/spreadsheetml/2006/main" count="862" uniqueCount="683">
  <si>
    <t>Date</t>
  </si>
  <si>
    <t>Decision</t>
  </si>
  <si>
    <t>Toss won by</t>
  </si>
  <si>
    <t>Team 1</t>
  </si>
  <si>
    <t>Team 2</t>
  </si>
  <si>
    <t>1st Innings Team</t>
  </si>
  <si>
    <t>Batsman</t>
  </si>
  <si>
    <t>Name</t>
  </si>
  <si>
    <t>How Out</t>
  </si>
  <si>
    <t>Bowler</t>
  </si>
  <si>
    <t>Runs</t>
  </si>
  <si>
    <t>4s</t>
  </si>
  <si>
    <t>Balls Faced</t>
  </si>
  <si>
    <t>6s</t>
  </si>
  <si>
    <t>Wides (cross with dots in quarters for each extra run)</t>
  </si>
  <si>
    <t xml:space="preserve">No Balls (circle around that ball score record) </t>
  </si>
  <si>
    <t>Byes (B with small number to the right indicating how many byes)</t>
  </si>
  <si>
    <t>Leg byes (L with small number to the right indicating how many leg byes)</t>
  </si>
  <si>
    <t>FOW</t>
  </si>
  <si>
    <t>Score</t>
  </si>
  <si>
    <t>Wicket</t>
  </si>
  <si>
    <t>Not Out</t>
  </si>
  <si>
    <t>O</t>
  </si>
  <si>
    <t>M</t>
  </si>
  <si>
    <t>R</t>
  </si>
  <si>
    <t>W</t>
  </si>
  <si>
    <t>w</t>
  </si>
  <si>
    <t>nb</t>
  </si>
  <si>
    <t>SR</t>
  </si>
  <si>
    <t>Ave</t>
  </si>
  <si>
    <t>RPO</t>
  </si>
  <si>
    <t>Umpires</t>
  </si>
  <si>
    <t>Scorers</t>
  </si>
  <si>
    <t>Fielding Captain</t>
  </si>
  <si>
    <t>2nd Innings Team</t>
  </si>
  <si>
    <t>Result</t>
  </si>
  <si>
    <t>MoM</t>
  </si>
  <si>
    <t>Teams</t>
  </si>
  <si>
    <t>WISCI</t>
  </si>
  <si>
    <t>Ceylon</t>
  </si>
  <si>
    <t>Emerio</t>
  </si>
  <si>
    <t>Barbarians</t>
  </si>
  <si>
    <t>Indorama</t>
  </si>
  <si>
    <t>Menara</t>
  </si>
  <si>
    <t>GMIS</t>
  </si>
  <si>
    <t>Challengers</t>
  </si>
  <si>
    <t>Mavecrics</t>
  </si>
  <si>
    <t>TKCC</t>
  </si>
  <si>
    <t>Jaguars</t>
  </si>
  <si>
    <t>Totals</t>
  </si>
  <si>
    <t>Batting/Bowling check</t>
  </si>
  <si>
    <t>Bowl</t>
  </si>
  <si>
    <t>Bowled</t>
  </si>
  <si>
    <t>LBW</t>
  </si>
  <si>
    <t xml:space="preserve">Bat </t>
  </si>
  <si>
    <t>Game Type</t>
  </si>
  <si>
    <t>35 overs</t>
  </si>
  <si>
    <t>T20</t>
  </si>
  <si>
    <t>Friendly</t>
  </si>
  <si>
    <t>Ground</t>
  </si>
  <si>
    <t>Cibubur</t>
  </si>
  <si>
    <t>Purnakata</t>
  </si>
  <si>
    <t>Pancawati</t>
  </si>
  <si>
    <t>Karawaci</t>
  </si>
  <si>
    <t>Other</t>
  </si>
  <si>
    <t xml:space="preserve">Remarks: </t>
  </si>
  <si>
    <t>Fielder</t>
  </si>
  <si>
    <t>Caught</t>
  </si>
  <si>
    <t>Stumped</t>
  </si>
  <si>
    <t>Run Out</t>
  </si>
  <si>
    <t>Hit Wicket</t>
  </si>
  <si>
    <t>Handled Ball</t>
  </si>
  <si>
    <t>Interfering with Field</t>
  </si>
  <si>
    <t>Out b/m</t>
  </si>
  <si>
    <t>no b/m</t>
  </si>
  <si>
    <t>for</t>
  </si>
  <si>
    <t>wickets</t>
  </si>
  <si>
    <t>Total Score</t>
  </si>
  <si>
    <t>Total extras</t>
  </si>
  <si>
    <t>Boundary balls</t>
  </si>
  <si>
    <t>Dot balls</t>
  </si>
  <si>
    <t>Fielding wicket keeper</t>
  </si>
  <si>
    <t>Bowlers: Name</t>
  </si>
  <si>
    <t>WPPIndia</t>
  </si>
  <si>
    <t>SenayanLions</t>
  </si>
  <si>
    <t>FezRebels</t>
  </si>
  <si>
    <t>DKISTigers</t>
  </si>
  <si>
    <t>MetroIndians</t>
  </si>
  <si>
    <t>Sub (if used)</t>
  </si>
  <si>
    <r>
      <t>Boxes with a</t>
    </r>
    <r>
      <rPr>
        <b/>
        <sz val="11"/>
        <color theme="1"/>
        <rFont val="Calibri"/>
        <family val="2"/>
        <scheme val="minor"/>
      </rPr>
      <t xml:space="preserve"> Blue</t>
    </r>
    <r>
      <rPr>
        <sz val="11"/>
        <color theme="1"/>
        <rFont val="Calibri"/>
        <family val="2"/>
        <scheme val="minor"/>
      </rPr>
      <t xml:space="preserve"> background are the responsibility of the </t>
    </r>
    <r>
      <rPr>
        <b/>
        <sz val="11"/>
        <color theme="1"/>
        <rFont val="Calibri"/>
        <family val="2"/>
        <scheme val="minor"/>
      </rPr>
      <t>Batting</t>
    </r>
    <r>
      <rPr>
        <sz val="11"/>
        <color theme="1"/>
        <rFont val="Calibri"/>
        <family val="2"/>
        <scheme val="minor"/>
      </rPr>
      <t xml:space="preserve"> team to fill out. The batting team will be penalised points for these boxes that are not filled out.</t>
    </r>
  </si>
  <si>
    <r>
      <t xml:space="preserve">Boxes with an </t>
    </r>
    <r>
      <rPr>
        <b/>
        <sz val="11"/>
        <color theme="1"/>
        <rFont val="Calibri"/>
        <family val="2"/>
        <scheme val="minor"/>
      </rPr>
      <t>Orange</t>
    </r>
    <r>
      <rPr>
        <sz val="11"/>
        <color theme="1"/>
        <rFont val="Calibri"/>
        <family val="2"/>
        <scheme val="minor"/>
      </rPr>
      <t xml:space="preserve"> background are </t>
    </r>
    <r>
      <rPr>
        <b/>
        <sz val="11"/>
        <color theme="1"/>
        <rFont val="Calibri"/>
        <family val="2"/>
        <scheme val="minor"/>
      </rPr>
      <t>voluntary</t>
    </r>
    <r>
      <rPr>
        <sz val="11"/>
        <color theme="1"/>
        <rFont val="Calibri"/>
        <family val="2"/>
        <scheme val="minor"/>
      </rPr>
      <t xml:space="preserve"> to fill out, but players whose boxes are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filled out are</t>
    </r>
    <r>
      <rPr>
        <b/>
        <sz val="11"/>
        <color theme="1"/>
        <rFont val="Calibri"/>
        <family val="2"/>
        <scheme val="minor"/>
      </rPr>
      <t xml:space="preserve"> removed from eligibility for relevant awards</t>
    </r>
  </si>
  <si>
    <r>
      <t xml:space="preserve">The Batting/Bowling check shows that everything adds up (eg batsman + extras = bowlers + lb + b). </t>
    </r>
    <r>
      <rPr>
        <b/>
        <sz val="11"/>
        <color theme="1"/>
        <rFont val="Calibri"/>
        <family val="2"/>
        <scheme val="minor"/>
      </rPr>
      <t>If this box does not read PASS points will be deducted from BOTH teams.</t>
    </r>
  </si>
  <si>
    <t>Boxes with no background should not be entered</t>
  </si>
  <si>
    <t xml:space="preserve">Step 1: </t>
  </si>
  <si>
    <t xml:space="preserve">Step 2: </t>
  </si>
  <si>
    <t xml:space="preserve">Step 3: </t>
  </si>
  <si>
    <t>If a player in your team does not appear in the drop down box to enter into the lineup do the following steps:</t>
  </si>
  <si>
    <t>Step 4:</t>
  </si>
  <si>
    <t xml:space="preserve">Step 5: </t>
  </si>
  <si>
    <t>Rows 39+ are for drop down box lists and should not be touched except to add a player whose name does not appear in your team list (see below)</t>
  </si>
  <si>
    <t xml:space="preserve">Step 6: </t>
  </si>
  <si>
    <t>Go to the Formulas Tab</t>
  </si>
  <si>
    <t>Select the Name Manager Tool</t>
  </si>
  <si>
    <t>In the next cell down, type in the name of your new player (repeat as necessary for multiple new players)</t>
  </si>
  <si>
    <t xml:space="preserve">Example: </t>
  </si>
  <si>
    <t xml:space="preserve">Step 7: </t>
  </si>
  <si>
    <t>Close and return to the player name entry section of the scoresheet and the drop down boxes should now contain the new names as well</t>
  </si>
  <si>
    <t>XXXX JCA LEAGUE 2015/16  -  SCORE SHEET SUMMARY</t>
  </si>
  <si>
    <t>PENALTIES</t>
  </si>
  <si>
    <t>-0.1 point for EACH incomplete coloured box (orange is not included being voluntary) in submission (eg, BF, dot balls, FOW incl batsmen out/no). Boxes properly incomplete (eg for batsmen who DNB, though their names must be there, or FoW for wickets that d</t>
  </si>
  <si>
    <t>-0.1 point for EACH incomplete or inaccurate name (names must match cricHQ team records) for batting, bowling or fielding in spreadsheet or CricHQ submission.</t>
  </si>
  <si>
    <t>NEW PLAYERS</t>
  </si>
  <si>
    <t>FILLING OUT THIS SCORESHEET</t>
  </si>
  <si>
    <t>ToC</t>
  </si>
  <si>
    <t>1. Filling out this Scoresheet</t>
  </si>
  <si>
    <t>2. Adding New Players</t>
  </si>
  <si>
    <t>3. Penalties</t>
  </si>
  <si>
    <t>-0.5 points for EACH team if the Pass/Fail box does not read Pass (scores add up batting and bowling)</t>
  </si>
  <si>
    <t>Most boxes except raw numerical values in this spreadsheet are entered using drop-down lists to select from rather than typing entries.</t>
  </si>
  <si>
    <r>
      <t xml:space="preserve">Obviously there is no penalty for an empty box that </t>
    </r>
    <r>
      <rPr>
        <i/>
        <sz val="11"/>
        <color theme="1"/>
        <rFont val="Calibri"/>
        <family val="2"/>
        <scheme val="minor"/>
      </rPr>
      <t>should</t>
    </r>
    <r>
      <rPr>
        <sz val="11"/>
        <color theme="1"/>
        <rFont val="Calibri"/>
        <family val="2"/>
        <scheme val="minor"/>
      </rPr>
      <t xml:space="preserve"> be empty, eg DNB, or Bowler for a Run Out. But things like boundaries, wides, no balls etc should be entered 0 if appropriate rather than empty</t>
    </r>
  </si>
  <si>
    <t>Toss Won By</t>
  </si>
  <si>
    <t>Who elected to</t>
  </si>
  <si>
    <t xml:space="preserve">Competition: </t>
  </si>
  <si>
    <t>vs</t>
  </si>
  <si>
    <t>Umpire 2:</t>
  </si>
  <si>
    <t>Umpire 1:</t>
  </si>
  <si>
    <t>name</t>
  </si>
  <si>
    <t>team</t>
  </si>
  <si>
    <t>position</t>
  </si>
  <si>
    <t>Game Result:</t>
  </si>
  <si>
    <t>Scorebook adds up?</t>
  </si>
  <si>
    <t>Captains signed completed Scorebook?</t>
  </si>
  <si>
    <t>JCA</t>
  </si>
  <si>
    <t>Competition</t>
  </si>
  <si>
    <t>Toss</t>
  </si>
  <si>
    <t>Bat</t>
  </si>
  <si>
    <t>Position</t>
  </si>
  <si>
    <t>Normal</t>
  </si>
  <si>
    <t>Both Ends</t>
  </si>
  <si>
    <t>Square Leg only</t>
  </si>
  <si>
    <t>League</t>
  </si>
  <si>
    <t>League Playoffs</t>
  </si>
  <si>
    <t>T20 playoffs</t>
  </si>
  <si>
    <t>Yes</t>
  </si>
  <si>
    <t>No</t>
  </si>
  <si>
    <t>Y/N</t>
  </si>
  <si>
    <t>Electronic Scoring?</t>
  </si>
  <si>
    <t>General Report</t>
  </si>
  <si>
    <t>Problems with Team conduct?</t>
  </si>
  <si>
    <t>Problems with Captain conduct?</t>
  </si>
  <si>
    <t>Problems with Player conduct?</t>
  </si>
  <si>
    <t>Bowler Action issues</t>
  </si>
  <si>
    <t>Bowler No Ball Issues</t>
  </si>
  <si>
    <t>Other Issues?</t>
  </si>
  <si>
    <t>Details if yes</t>
  </si>
  <si>
    <t>Inn1</t>
  </si>
  <si>
    <t>inn2</t>
  </si>
  <si>
    <t>Don’t know</t>
  </si>
  <si>
    <t>Find your club player list. Clubs are listed in Row57 cells A57 to P57 and their team lists below them. Do not use the club list in A40-A55</t>
  </si>
  <si>
    <t>Team 1 (Bat 1st)</t>
  </si>
  <si>
    <t>Team 2 (Bat 2nd)</t>
  </si>
  <si>
    <t>Player</t>
  </si>
  <si>
    <t>Batting number</t>
  </si>
  <si>
    <t>Games</t>
  </si>
  <si>
    <t>Innings</t>
  </si>
  <si>
    <t>no</t>
  </si>
  <si>
    <t>BF</t>
  </si>
  <si>
    <t>dots</t>
  </si>
  <si>
    <t>partnerships</t>
  </si>
  <si>
    <t>catches</t>
  </si>
  <si>
    <t>run outs</t>
  </si>
  <si>
    <t>stumpings</t>
  </si>
  <si>
    <t>overs</t>
  </si>
  <si>
    <t>maidens</t>
  </si>
  <si>
    <t>runs</t>
  </si>
  <si>
    <t>wides</t>
  </si>
  <si>
    <t>noballs</t>
  </si>
  <si>
    <t>db bowled</t>
  </si>
  <si>
    <t>bdy bowled</t>
  </si>
  <si>
    <t>Partnership</t>
  </si>
  <si>
    <t>50s</t>
  </si>
  <si>
    <t>100s</t>
  </si>
  <si>
    <t>3/</t>
  </si>
  <si>
    <t>5/</t>
  </si>
  <si>
    <t>Bdy Balls</t>
  </si>
  <si>
    <t>Final Total</t>
  </si>
  <si>
    <t>Match SR</t>
  </si>
  <si>
    <t>Match Runs</t>
  </si>
  <si>
    <t>Balls available</t>
  </si>
  <si>
    <t>base batting MVP</t>
  </si>
  <si>
    <t>converted batting MVP</t>
  </si>
  <si>
    <t>Final Bowling MVP</t>
  </si>
  <si>
    <t>1/2 effect SR</t>
  </si>
  <si>
    <t>Team Econ Rate</t>
  </si>
  <si>
    <t>SAMPLES</t>
  </si>
  <si>
    <t>CALCS</t>
  </si>
  <si>
    <t>EconR Normal Dist</t>
  </si>
  <si>
    <t>Econ R</t>
  </si>
  <si>
    <t>Match ER</t>
  </si>
  <si>
    <t>wicket points</t>
  </si>
  <si>
    <t>Bowling Points</t>
  </si>
  <si>
    <t>3/fielding</t>
  </si>
  <si>
    <t>5/fielding</t>
  </si>
  <si>
    <t>Total fielding</t>
  </si>
  <si>
    <t>Fielding MVP</t>
  </si>
  <si>
    <t>Total MVP</t>
  </si>
  <si>
    <t>Final Batting MVP</t>
  </si>
  <si>
    <t>L</t>
  </si>
  <si>
    <t>Team Result</t>
  </si>
  <si>
    <t>T</t>
  </si>
  <si>
    <t>NR</t>
  </si>
  <si>
    <t>Winning (2pts)</t>
  </si>
  <si>
    <t>Captain (2pts)</t>
  </si>
  <si>
    <t>ChairosTigers</t>
  </si>
  <si>
    <r>
      <t xml:space="preserve">Boxes with a </t>
    </r>
    <r>
      <rPr>
        <b/>
        <sz val="11"/>
        <color theme="1"/>
        <rFont val="Calibri"/>
        <family val="2"/>
        <scheme val="minor"/>
      </rPr>
      <t>Pink</t>
    </r>
    <r>
      <rPr>
        <sz val="11"/>
        <color theme="1"/>
        <rFont val="Calibri"/>
        <family val="2"/>
        <scheme val="minor"/>
      </rPr>
      <t xml:space="preserve"> background are the responsibility of the </t>
    </r>
    <r>
      <rPr>
        <b/>
        <sz val="11"/>
        <color theme="1"/>
        <rFont val="Calibri"/>
        <family val="2"/>
        <scheme val="minor"/>
      </rPr>
      <t>Fielding</t>
    </r>
    <r>
      <rPr>
        <sz val="11"/>
        <color theme="1"/>
        <rFont val="Calibri"/>
        <family val="2"/>
        <scheme val="minor"/>
      </rPr>
      <t xml:space="preserve"> team to fill out. The fielding team will be penalised points for these boxes that are not filled out.</t>
    </r>
  </si>
  <si>
    <r>
      <t xml:space="preserve">Boxes with a </t>
    </r>
    <r>
      <rPr>
        <b/>
        <sz val="11"/>
        <color theme="1"/>
        <rFont val="Calibri"/>
        <family val="2"/>
        <scheme val="minor"/>
      </rPr>
      <t>Grey</t>
    </r>
    <r>
      <rPr>
        <sz val="11"/>
        <color theme="1"/>
        <rFont val="Calibri"/>
        <family val="2"/>
        <scheme val="minor"/>
      </rPr>
      <t xml:space="preserve"> background should not be touched, they are there for calculations and MVP purposes</t>
    </r>
  </si>
  <si>
    <t>Gaurav Pathak</t>
  </si>
  <si>
    <t>Dhiraj Nagpal</t>
  </si>
  <si>
    <t>Bunty Nagpal</t>
  </si>
  <si>
    <t>Gaurang Kapadia</t>
  </si>
  <si>
    <t>George Maghnani</t>
  </si>
  <si>
    <t>Manoj Arora</t>
  </si>
  <si>
    <t>Kishor Gunwani</t>
  </si>
  <si>
    <t>Pankaj Jain</t>
  </si>
  <si>
    <t>Partha Kabi</t>
  </si>
  <si>
    <t>Rachin Arora</t>
  </si>
  <si>
    <t>Santosh Kumar</t>
  </si>
  <si>
    <t>Dwaraknath Naidu</t>
  </si>
  <si>
    <t>Vasudevan Parthasarathy</t>
  </si>
  <si>
    <t>Bhuvan Manjunathan</t>
  </si>
  <si>
    <t>Mahesh Amarnani</t>
  </si>
  <si>
    <t>Pallav Malhotra</t>
  </si>
  <si>
    <t>Vijay Kumar</t>
  </si>
  <si>
    <t>Ashfaq Hussain</t>
  </si>
  <si>
    <t>Dhimanshu Raghuwanshi</t>
  </si>
  <si>
    <t>Abhay Bhalerao</t>
  </si>
  <si>
    <t>Saini Sumit</t>
  </si>
  <si>
    <t>Shivanand Daddimani</t>
  </si>
  <si>
    <t>Amit Lalaji</t>
  </si>
  <si>
    <t>Muhammad Ridho</t>
  </si>
  <si>
    <t>Jagdeep Singh</t>
  </si>
  <si>
    <t>Raja Kundu</t>
  </si>
  <si>
    <t>Ramakrishna Prasad</t>
  </si>
  <si>
    <t>Parshotam Lal</t>
  </si>
  <si>
    <t>Nasir Mehdi</t>
  </si>
  <si>
    <t>Feroz Saeed Dalwai</t>
  </si>
  <si>
    <t>Riski Sanjaya</t>
  </si>
  <si>
    <t>Yashpal Rathor</t>
  </si>
  <si>
    <t>Suheal Ahmed Jaffery Kiranam</t>
  </si>
  <si>
    <t>Ansar Subramanian Mohammed Hameed</t>
  </si>
  <si>
    <t>Mohammad Mubeen</t>
  </si>
  <si>
    <t>Mohideen Nanapallai</t>
  </si>
  <si>
    <t>Anwar Pasha</t>
  </si>
  <si>
    <t>Hitesh Malhotra</t>
  </si>
  <si>
    <t>Ravinder Negi</t>
  </si>
  <si>
    <t>Vijay Srinivasan</t>
  </si>
  <si>
    <t>Malik Thariani</t>
  </si>
  <si>
    <t>Srinivasan (Cheenu) Venkatachalam</t>
  </si>
  <si>
    <t>Manicka vasagan (Manic) G</t>
  </si>
  <si>
    <t>Adithyan Asokan</t>
  </si>
  <si>
    <t>Dennis Susairaj. J</t>
  </si>
  <si>
    <t>Dhanashekaran (sekar ) Ramalingam</t>
  </si>
  <si>
    <t>Jaganathan (Jagan ) Krishnan</t>
  </si>
  <si>
    <t>Jeganathan S</t>
  </si>
  <si>
    <t>Ranjan Shankar</t>
  </si>
  <si>
    <t>Sunil Samtani</t>
  </si>
  <si>
    <t>Satheesh  Kumar Subramanium</t>
  </si>
  <si>
    <t>Santhosh Kumar</t>
  </si>
  <si>
    <t>Srini KG srinivas</t>
  </si>
  <si>
    <t>Satinder Minhas</t>
  </si>
  <si>
    <t>Chacko Smejo</t>
  </si>
  <si>
    <t>Vimal  Nair</t>
  </si>
  <si>
    <t>Vimal  Mohan</t>
  </si>
  <si>
    <t>Vasudevan Rangasamy</t>
  </si>
  <si>
    <t>Vivek Nath Balasundaram</t>
  </si>
  <si>
    <t>Rajeev Gandhi</t>
  </si>
  <si>
    <t>SenayanCC</t>
  </si>
  <si>
    <t>Melvin Ndoen</t>
  </si>
  <si>
    <t>Sachin Gopalan</t>
  </si>
  <si>
    <t>Febrian Dana Wiyoko</t>
  </si>
  <si>
    <t>Aditya Gustama</t>
  </si>
  <si>
    <t>Refan Desnika</t>
  </si>
  <si>
    <t>Juni Aryadi</t>
  </si>
  <si>
    <t>Agi Septyasa</t>
  </si>
  <si>
    <t>Ridwan Amin</t>
  </si>
  <si>
    <t>Arkha Tri Maryanto</t>
  </si>
  <si>
    <t>Alfaris</t>
  </si>
  <si>
    <t>Irwan Siregar</t>
  </si>
  <si>
    <t>Widi Abdurahman Hamid</t>
  </si>
  <si>
    <t>Yeri Rosongna</t>
  </si>
  <si>
    <t>Warwick Peters</t>
  </si>
  <si>
    <t>Corbon Loughnan</t>
  </si>
  <si>
    <t>OP Rajesh</t>
  </si>
  <si>
    <t>Suresh Subramanian</t>
  </si>
  <si>
    <t>Jon Burrough</t>
  </si>
  <si>
    <t>Mick Dumenil</t>
  </si>
  <si>
    <t>Cameron Knox</t>
  </si>
  <si>
    <t xml:space="preserve">Brock Fisher </t>
  </si>
  <si>
    <t>Charles Thursby-Pelham</t>
  </si>
  <si>
    <t xml:space="preserve">Justin Lee </t>
  </si>
  <si>
    <t>Steven Nealon</t>
  </si>
  <si>
    <t xml:space="preserve">Cameron McNamara </t>
  </si>
  <si>
    <t xml:space="preserve">Liam Hammer </t>
  </si>
  <si>
    <t>Alistair Mann</t>
  </si>
  <si>
    <t>Sam Levick</t>
  </si>
  <si>
    <t>Brenton Harris</t>
  </si>
  <si>
    <t>Debmalaya Jana</t>
  </si>
  <si>
    <t>Tim Simpson</t>
  </si>
  <si>
    <t>DJ Mathew</t>
  </si>
  <si>
    <t>Rohit Nair</t>
  </si>
  <si>
    <t xml:space="preserve">Simon Williams </t>
  </si>
  <si>
    <t xml:space="preserve">Stew Lyons </t>
  </si>
  <si>
    <t xml:space="preserve">Mark Soffer </t>
  </si>
  <si>
    <t xml:space="preserve">Dick Slaney </t>
  </si>
  <si>
    <t xml:space="preserve">Phil Reid </t>
  </si>
  <si>
    <t xml:space="preserve">Davin Frankel </t>
  </si>
  <si>
    <t>James Trewin</t>
  </si>
  <si>
    <t>Sivarama Yegnaraman</t>
  </si>
  <si>
    <t>Ashwin Sunder</t>
  </si>
  <si>
    <t xml:space="preserve">Irfan Raza </t>
  </si>
  <si>
    <t>Sucheet Parikh</t>
  </si>
  <si>
    <t>Ahmad Ramdhoni</t>
  </si>
  <si>
    <t>Marten Eddy</t>
  </si>
  <si>
    <t>Stephen Barber</t>
  </si>
  <si>
    <t>Sandeep Kukkar</t>
  </si>
  <si>
    <t>Sravan Kumar</t>
  </si>
  <si>
    <t>Subhash Mogdil</t>
  </si>
  <si>
    <t>Hanan Khalid</t>
  </si>
  <si>
    <t>Aqsam Omar</t>
  </si>
  <si>
    <t>Rahul Pagad</t>
  </si>
  <si>
    <t>Fachri Nurhadi</t>
  </si>
  <si>
    <t>Gema Fajar</t>
  </si>
  <si>
    <t>Muhammad Ari Cahyo Nugroho</t>
  </si>
  <si>
    <t>Muhammad Syahrul Rahmadan</t>
  </si>
  <si>
    <t>Angga Lucky</t>
  </si>
  <si>
    <t>Fernandes Nato Wellarana</t>
  </si>
  <si>
    <t>Fiskal Tirta Yoga Sabara</t>
  </si>
  <si>
    <t>Rudolf Febyant Matatias</t>
  </si>
  <si>
    <t>Chandroo R Rajalingam</t>
  </si>
  <si>
    <t>Sabu Joy</t>
  </si>
  <si>
    <t>On Sheet 1 only, go to the bottom of the list of players for your club (eg for WISCI, cell A83 Willian Noronha)</t>
  </si>
  <si>
    <r>
      <t xml:space="preserve">Find your club/team name, which should appear </t>
    </r>
    <r>
      <rPr>
        <b/>
        <sz val="11"/>
        <color theme="1"/>
        <rFont val="Calibri"/>
        <family val="2"/>
        <scheme val="minor"/>
      </rPr>
      <t>twice</t>
    </r>
    <r>
      <rPr>
        <sz val="11"/>
        <color theme="1"/>
        <rFont val="Calibri"/>
        <family val="2"/>
        <scheme val="minor"/>
      </rPr>
      <t xml:space="preserve">, and in </t>
    </r>
    <r>
      <rPr>
        <b/>
        <sz val="11"/>
        <color theme="1"/>
        <rFont val="Calibri"/>
        <family val="2"/>
        <scheme val="minor"/>
      </rPr>
      <t>both</t>
    </r>
    <r>
      <rPr>
        <sz val="11"/>
        <color theme="1"/>
        <rFont val="Calibri"/>
        <family val="2"/>
        <scheme val="minor"/>
      </rPr>
      <t xml:space="preserve"> lines check that 'value' in the 'refers to' box extends down the list length to include the newly typed name. If it does not edit it so it does.</t>
    </r>
  </si>
  <si>
    <t>If three new names were added to WISCI instead of one you would change A84 to A86 in both lines</t>
  </si>
  <si>
    <t xml:space="preserve">WISCI name list was A58 to A84, after adding one name, no change would be needed </t>
  </si>
  <si>
    <t>Karan Tiwari</t>
  </si>
  <si>
    <t xml:space="preserve">Note that Cells B3 and B4 must be fille dout </t>
  </si>
  <si>
    <t>Anjaneyulu Katta</t>
  </si>
  <si>
    <t>David Surjit</t>
  </si>
  <si>
    <t>Harish Vaidyanathan</t>
  </si>
  <si>
    <t>Kapil Goel</t>
  </si>
  <si>
    <t>Maneesh Dubey</t>
  </si>
  <si>
    <t>Manikandan Chandrashekar</t>
  </si>
  <si>
    <t>Nagraj Bitla</t>
  </si>
  <si>
    <t>Palwinder Singh</t>
  </si>
  <si>
    <t>Piyush Jha</t>
  </si>
  <si>
    <t>Rajat Jain</t>
  </si>
  <si>
    <t>Sathyanarayana Mendarkar</t>
  </si>
  <si>
    <t>Shashank Arora</t>
  </si>
  <si>
    <t>Shivansh Jain</t>
  </si>
  <si>
    <t>Syed Hameed</t>
  </si>
  <si>
    <t>Vijay Krishnan</t>
  </si>
  <si>
    <t>Vinod Bisht</t>
  </si>
  <si>
    <t>Vivek Shetty</t>
  </si>
  <si>
    <t>Ajay Jaswal</t>
  </si>
  <si>
    <t>Ajit Prabhu</t>
  </si>
  <si>
    <t>Anuj Banerjee</t>
  </si>
  <si>
    <t>Chetan Porwal</t>
  </si>
  <si>
    <t>Hetal Patel</t>
  </si>
  <si>
    <t>Ishwar Thakkar</t>
  </si>
  <si>
    <t>Jatinder Sandhu</t>
  </si>
  <si>
    <t>Keyur Moradia</t>
  </si>
  <si>
    <t>Kunal Malhotra</t>
  </si>
  <si>
    <t>Mayank Puri</t>
  </si>
  <si>
    <t>Miraz Monga</t>
  </si>
  <si>
    <t>Mitesh Dingra</t>
  </si>
  <si>
    <t>Mufasil PM</t>
  </si>
  <si>
    <t>Pradeep Patnaik</t>
  </si>
  <si>
    <t>Prashant Kamat</t>
  </si>
  <si>
    <t>Praveen Praveen</t>
  </si>
  <si>
    <t>Punit Gambhir</t>
  </si>
  <si>
    <t>Rakesh Rathore</t>
  </si>
  <si>
    <t>Rakesh Sharma</t>
  </si>
  <si>
    <t>Ramesh Dubagunta</t>
  </si>
  <si>
    <t>Rinkesh Khosla</t>
  </si>
  <si>
    <t>Rizwan Khan</t>
  </si>
  <si>
    <t>Roopesh Shah</t>
  </si>
  <si>
    <t>Roy Roy</t>
  </si>
  <si>
    <t>Samir Sharma</t>
  </si>
  <si>
    <t>Sandeep Gaikwad</t>
  </si>
  <si>
    <t>Sanjeev Modi</t>
  </si>
  <si>
    <t>Satish Pansare</t>
  </si>
  <si>
    <t>Satish Rani</t>
  </si>
  <si>
    <t>Shankar CS</t>
  </si>
  <si>
    <t>Shivaz Monga</t>
  </si>
  <si>
    <t>Shobit Tandon</t>
  </si>
  <si>
    <t>Vikas Gupta</t>
  </si>
  <si>
    <t>Vishav Sharma</t>
  </si>
  <si>
    <t>Yogish Lad</t>
  </si>
  <si>
    <t>Adarsh srikanth</t>
  </si>
  <si>
    <t>Ajeet Bhatt</t>
  </si>
  <si>
    <t>Ashutosh Mishra</t>
  </si>
  <si>
    <t>Bharat Dholakhandi</t>
  </si>
  <si>
    <t>Deepak Sarna</t>
  </si>
  <si>
    <t>Diwakar Mohan</t>
  </si>
  <si>
    <t>Gunasekran</t>
  </si>
  <si>
    <t>Ishan daniel</t>
  </si>
  <si>
    <t>Jalaj Chaturvedi</t>
  </si>
  <si>
    <t>Manish Semwal</t>
  </si>
  <si>
    <t>Maulik Trivedi</t>
  </si>
  <si>
    <t>Naresh Gupta</t>
  </si>
  <si>
    <t>Nikhil D'souza</t>
  </si>
  <si>
    <t>Pratyush Chatuvedi</t>
  </si>
  <si>
    <t>Satya Ganesh</t>
  </si>
  <si>
    <t>Sourav Bera</t>
  </si>
  <si>
    <t>ANAND SRINIVASAN</t>
  </si>
  <si>
    <t>ANIL KAUL</t>
  </si>
  <si>
    <t>ASANKA DE SARAM</t>
  </si>
  <si>
    <t>AVAKASH LOHIA</t>
  </si>
  <si>
    <t>BABA SIVASANKARAN</t>
  </si>
  <si>
    <t>DIHAN SILVA</t>
  </si>
  <si>
    <t>GAURAV KAPOOR</t>
  </si>
  <si>
    <t>KESAVADAS RAVINDRAN</t>
  </si>
  <si>
    <t>MUHRIZ MUZAMMIL</t>
  </si>
  <si>
    <t>PRAVEEN UPPAL</t>
  </si>
  <si>
    <t>PULOKESH (PULO) MAJUMDAR</t>
  </si>
  <si>
    <t>RAJEEV KUMAR</t>
  </si>
  <si>
    <t>RAJESH MRIDULA</t>
  </si>
  <si>
    <t>RAM KRISHNAN</t>
  </si>
  <si>
    <t>RAZU AHMED</t>
  </si>
  <si>
    <t>RIAZ UR RAHMAN</t>
  </si>
  <si>
    <t>SABRY SALAHUDEEN</t>
  </si>
  <si>
    <t>SAJITH PULLARKAT</t>
  </si>
  <si>
    <t>VINEET PRASANI</t>
  </si>
  <si>
    <t>Romesh Paul</t>
  </si>
  <si>
    <t>Tim Gutsell</t>
  </si>
  <si>
    <t>Jon Baker</t>
  </si>
  <si>
    <t>Andrew Barnes</t>
  </si>
  <si>
    <t>Biswajit Pradhan</t>
  </si>
  <si>
    <t>Eki Antaria</t>
  </si>
  <si>
    <t>Robert Baldwin</t>
  </si>
  <si>
    <t>Olivier Bouwmeester</t>
  </si>
  <si>
    <t>Reuben Brimage</t>
  </si>
  <si>
    <t>Mark Bruny</t>
  </si>
  <si>
    <t>Ben Burgess</t>
  </si>
  <si>
    <t>Liam Cass</t>
  </si>
  <si>
    <t>Steve Cheshire</t>
  </si>
  <si>
    <t>Pete Clark</t>
  </si>
  <si>
    <t>Ben Corbett</t>
  </si>
  <si>
    <t>Kunal Desai</t>
  </si>
  <si>
    <t>Sean Hankin</t>
  </si>
  <si>
    <t>Justin Horan</t>
  </si>
  <si>
    <t>Kookie Jambunathan</t>
  </si>
  <si>
    <t>Sam Mabey</t>
  </si>
  <si>
    <t>Scott Masson</t>
  </si>
  <si>
    <t>Sam Mirza</t>
  </si>
  <si>
    <t>Rick Monaghan</t>
  </si>
  <si>
    <t>Damien Ross</t>
  </si>
  <si>
    <t>Jared Seiffert</t>
  </si>
  <si>
    <t>Mark Sims</t>
  </si>
  <si>
    <t>Malay Trivedi</t>
  </si>
  <si>
    <t>Josh Van Vianen</t>
  </si>
  <si>
    <t>Lindsay Wood</t>
  </si>
  <si>
    <t>WILLIAM NORONHA</t>
  </si>
  <si>
    <t>WILFRED SCHULTZ</t>
  </si>
  <si>
    <t>AMAN SINGH</t>
  </si>
  <si>
    <t>VIRAJ BHAMMAR</t>
  </si>
  <si>
    <t>RAJEEV RAJESWARAN</t>
  </si>
  <si>
    <t>BOB PLATH</t>
  </si>
  <si>
    <t>GAURAV TIWARI</t>
  </si>
  <si>
    <t>JP LE RICHE</t>
  </si>
  <si>
    <t>DEEPAK SINGH</t>
  </si>
  <si>
    <t>RAJNEESH VASUDEVA</t>
  </si>
  <si>
    <t>AVINASH PAREEK</t>
  </si>
  <si>
    <t>ZACARIAH CUTCLIFFE</t>
  </si>
  <si>
    <t>JIM HOWLETT</t>
  </si>
  <si>
    <t>ANANT BHAKE</t>
  </si>
  <si>
    <t>AMBUJ SINGH</t>
  </si>
  <si>
    <t>AMBUJ DUBEY</t>
  </si>
  <si>
    <t>SUHAIL MODAK</t>
  </si>
  <si>
    <t>TIM WATSON</t>
  </si>
  <si>
    <t>GREG HAYNE</t>
  </si>
  <si>
    <t>PRAKASH SUBRAMANIAN</t>
  </si>
  <si>
    <t>HIMANSHU SHEKAR</t>
  </si>
  <si>
    <t>TOBY NUGENT</t>
  </si>
  <si>
    <t>PAUL GRIFFITH</t>
  </si>
  <si>
    <t>Prakash Kewlani</t>
  </si>
  <si>
    <t>Caught WK</t>
  </si>
  <si>
    <t>Ravi Venkatesh</t>
  </si>
  <si>
    <t>TIMOTHY PUSHPAKUMARA</t>
  </si>
  <si>
    <t>Club</t>
  </si>
  <si>
    <t>wk Dismissal</t>
  </si>
  <si>
    <t>Sridhar Sasikumar</t>
  </si>
  <si>
    <t>Uttam Singh Gyan Singh</t>
  </si>
  <si>
    <t>Usman Afridi</t>
  </si>
  <si>
    <t>Rohan Rajpal</t>
  </si>
  <si>
    <t>Jegan Rangachari</t>
  </si>
  <si>
    <t>Peter Wallace</t>
  </si>
  <si>
    <t>Mohammad Imran</t>
  </si>
  <si>
    <t>Mohit Dilawar Singh</t>
  </si>
  <si>
    <t>Surendran Chandramohan</t>
  </si>
  <si>
    <t>Vinayak Kurkoti</t>
  </si>
  <si>
    <t>Sultan Saleh Uddin Moon</t>
  </si>
  <si>
    <t>Shankar Mishra</t>
  </si>
  <si>
    <t>Rachin Kumar</t>
  </si>
  <si>
    <t>Swaroop Chavan J</t>
  </si>
  <si>
    <t>Poonam Bumb</t>
  </si>
  <si>
    <t>Neeraj Chaddha</t>
  </si>
  <si>
    <t xml:space="preserve">Anil Gawda </t>
  </si>
  <si>
    <t xml:space="preserve">Dipak Grover </t>
  </si>
  <si>
    <t>Harshal Sunil Rane</t>
  </si>
  <si>
    <t>Mukesh Khetan</t>
  </si>
  <si>
    <t xml:space="preserve">Nagesh Lakshmi Gawda </t>
  </si>
  <si>
    <t>Sanwar Agrawal</t>
  </si>
  <si>
    <t>Surendra Khetan</t>
  </si>
  <si>
    <t>Susil Khanna</t>
  </si>
  <si>
    <t>Viplow Singh</t>
  </si>
  <si>
    <t>Vishal Garg</t>
  </si>
  <si>
    <t>Chinmay Mallik</t>
  </si>
  <si>
    <t>Zulki Hamid</t>
  </si>
  <si>
    <t>Vijaya Varma Sayyaparaju</t>
  </si>
  <si>
    <t>Nitin Gupta</t>
  </si>
  <si>
    <t xml:space="preserve">Prakash </t>
  </si>
  <si>
    <t>DAVID HOLME</t>
  </si>
  <si>
    <t>Peter Boyd</t>
  </si>
  <si>
    <t>Arun Pandi</t>
  </si>
  <si>
    <t>Saleem</t>
  </si>
  <si>
    <t>Naushad</t>
  </si>
  <si>
    <t>Maneesh Tripathi</t>
  </si>
  <si>
    <t>Srinivas Murthy</t>
  </si>
  <si>
    <t>Rajendra Singh</t>
  </si>
  <si>
    <t>Taimur Khan</t>
  </si>
  <si>
    <t>Rakesh</t>
  </si>
  <si>
    <t>Bilal Abdus Samad</t>
  </si>
  <si>
    <t>Steve Barraclough</t>
  </si>
  <si>
    <t>Nikhilesh</t>
  </si>
  <si>
    <t>Vinod Myakkam</t>
  </si>
  <si>
    <t>Andriani</t>
  </si>
  <si>
    <t>Dan Brown</t>
  </si>
  <si>
    <t>Dan Thomas</t>
  </si>
  <si>
    <t>Ankit Gupta</t>
  </si>
  <si>
    <t>Rakshan Rai</t>
  </si>
  <si>
    <t>Arun Franklin</t>
  </si>
  <si>
    <t>Rehan Abdul Ghaffar</t>
  </si>
  <si>
    <t>Prabhakar Dutta</t>
  </si>
  <si>
    <t>Sameem Khan</t>
  </si>
  <si>
    <t>Saqib Khan</t>
  </si>
  <si>
    <t>Aijaz Matoo</t>
  </si>
  <si>
    <t>Amar Kapadia</t>
  </si>
  <si>
    <t>Amir Mohammad</t>
  </si>
  <si>
    <t>Amit Ambre</t>
  </si>
  <si>
    <t>Amrithanand Mandook</t>
  </si>
  <si>
    <t>Anjar Tadarus</t>
  </si>
  <si>
    <t>Ashit Mehta</t>
  </si>
  <si>
    <t>Cecil Jacob</t>
  </si>
  <si>
    <t>Faisal Hashmi</t>
  </si>
  <si>
    <t>Haider Ali</t>
  </si>
  <si>
    <t>Malcom Monteiro</t>
  </si>
  <si>
    <t>Javed Hayat</t>
  </si>
  <si>
    <t>Jibu Chacko</t>
  </si>
  <si>
    <t>Jimmy Ahmed</t>
  </si>
  <si>
    <t>Kanav Choudary</t>
  </si>
  <si>
    <t>Malik Arslan</t>
  </si>
  <si>
    <t>Muhaddis</t>
  </si>
  <si>
    <t>Parag Haldankar</t>
  </si>
  <si>
    <t>Prakash Vijaykumar</t>
  </si>
  <si>
    <t>Prem Subramanian</t>
  </si>
  <si>
    <t>Puneet Khurana</t>
  </si>
  <si>
    <t>Raj Kapadia</t>
  </si>
  <si>
    <t>Rajiv Ramnarayan</t>
  </si>
  <si>
    <t>Sandesh Pawar</t>
  </si>
  <si>
    <t>Shubho Sarkar</t>
  </si>
  <si>
    <t>Shubhraneel Mitra</t>
  </si>
  <si>
    <t>Rakesh Gowda</t>
  </si>
  <si>
    <t>Purwakata</t>
  </si>
  <si>
    <t>NALAKA KODITUWAKKU</t>
  </si>
  <si>
    <t>Abdul Rahman Ganesa Raja</t>
  </si>
  <si>
    <t>Mohammed Yaqoob</t>
  </si>
  <si>
    <t>Christian Hirst</t>
  </si>
  <si>
    <t>Greg Furness</t>
  </si>
  <si>
    <t>Navin Param</t>
  </si>
  <si>
    <t>Owais Parry</t>
  </si>
  <si>
    <t>Suda Arsa</t>
  </si>
  <si>
    <t>Akarsh Srivasthva</t>
  </si>
  <si>
    <t>Avi Bakuni</t>
  </si>
  <si>
    <t>Bhagatsinh londhe</t>
  </si>
  <si>
    <t>Dilip Udayashankar</t>
  </si>
  <si>
    <t>Gautam Chakravarthy</t>
  </si>
  <si>
    <t>Krishna Kumar V</t>
  </si>
  <si>
    <t>Mayank Sharma</t>
  </si>
  <si>
    <t>Neeraj Sharma</t>
  </si>
  <si>
    <t>Rakesh Chand</t>
  </si>
  <si>
    <t>Ruthra Kumar Loganathan</t>
  </si>
  <si>
    <t>Sambi Reddy Marella</t>
  </si>
  <si>
    <t>Sankar Velayudham</t>
  </si>
  <si>
    <t>Sujay Kumar Saha</t>
  </si>
  <si>
    <t>Tanmay Patel</t>
  </si>
  <si>
    <t>Vivek Tripathi</t>
  </si>
  <si>
    <t>Andrew Sandi Setiawan</t>
  </si>
  <si>
    <t>Desandri</t>
  </si>
  <si>
    <t>Rupesh Shah</t>
  </si>
  <si>
    <t>Vignesh Mahadevan</t>
  </si>
  <si>
    <t>Saleem Khan</t>
  </si>
  <si>
    <t>Arun Rajain</t>
  </si>
  <si>
    <t>Hardeep Sidhu</t>
  </si>
  <si>
    <t>Vishal Ganti</t>
  </si>
  <si>
    <t>Amit Dabas</t>
  </si>
  <si>
    <t>Irwan Buhari</t>
  </si>
  <si>
    <t>Soni Hawoe</t>
  </si>
  <si>
    <t>Kshitij</t>
  </si>
  <si>
    <t>Rohan Tripathi</t>
  </si>
  <si>
    <t>Samir Patel</t>
  </si>
  <si>
    <t>Sushil Khanna</t>
  </si>
  <si>
    <t>ANIL PRABHAKAR</t>
  </si>
  <si>
    <t>Razu Ahmed</t>
  </si>
  <si>
    <t>Sameem</t>
  </si>
  <si>
    <t>Abhijit Kunte</t>
  </si>
  <si>
    <t>Sadanand Janpandit</t>
  </si>
  <si>
    <t>Geoff Perryman</t>
  </si>
  <si>
    <t>Morgan McKellar</t>
  </si>
  <si>
    <t>Peter Johnson</t>
  </si>
  <si>
    <t>Ardan</t>
  </si>
  <si>
    <t>Dandi</t>
  </si>
  <si>
    <t>Ajay Mishra</t>
  </si>
  <si>
    <t>Vijay Kumar S</t>
  </si>
  <si>
    <t>jawahar subra manian</t>
  </si>
  <si>
    <t>Riyaz Hyder</t>
  </si>
  <si>
    <t>Yashpal Rathore</t>
  </si>
  <si>
    <t>Abhishek Sinha</t>
  </si>
  <si>
    <t>Amit Bhat</t>
  </si>
  <si>
    <t>Anandalwar Santhanam</t>
  </si>
  <si>
    <t>Arjun Chauhan</t>
  </si>
  <si>
    <t>Atul Kakkar</t>
  </si>
  <si>
    <t>Ashish Khaitan</t>
  </si>
  <si>
    <t>Deepak Khullar</t>
  </si>
  <si>
    <t>Bubun Bubun</t>
  </si>
  <si>
    <t>Gajendra Asaliya</t>
  </si>
  <si>
    <t>Ashwin Shetty</t>
  </si>
  <si>
    <t>Deepak Kedia</t>
  </si>
  <si>
    <t>Govind Sodani</t>
  </si>
  <si>
    <t>Hari Krishnan</t>
  </si>
  <si>
    <t>John Anthony</t>
  </si>
  <si>
    <t>Karyadi Karyadi</t>
  </si>
  <si>
    <t>Harish Tiwari</t>
  </si>
  <si>
    <t>Karthikeyan Sakthivel</t>
  </si>
  <si>
    <t>Kaushik Vishvanath</t>
  </si>
  <si>
    <t>Harshad Bhat</t>
  </si>
  <si>
    <t>Kiruba Sankar</t>
  </si>
  <si>
    <t>Nakul Boora</t>
  </si>
  <si>
    <t>John Dulip Kumar</t>
  </si>
  <si>
    <t>Narasimha Lakshmi Gowda</t>
  </si>
  <si>
    <t>Nitin Joshi</t>
  </si>
  <si>
    <t>Kapil Bhutra</t>
  </si>
  <si>
    <t>Prabhukaliraj Kanagarajan</t>
  </si>
  <si>
    <t>PC Sethi</t>
  </si>
  <si>
    <t>Mahesh Thadani</t>
  </si>
  <si>
    <t>Prem Kumar Subbaiah</t>
  </si>
  <si>
    <t>R Srikkanth</t>
  </si>
  <si>
    <t>Mohit Keshwani</t>
  </si>
  <si>
    <t>Ramachandran parthasarathy</t>
  </si>
  <si>
    <t>Muhammad Ishaq Khan</t>
  </si>
  <si>
    <t>Reddy A.V</t>
  </si>
  <si>
    <t>Sandeep Bhandarwar</t>
  </si>
  <si>
    <t>Neetesh Pansare</t>
  </si>
  <si>
    <t>Sandeep Boora</t>
  </si>
  <si>
    <t>Sakthi Narayanan</t>
  </si>
  <si>
    <t>Rahul Kukreja</t>
  </si>
  <si>
    <t>Salahudeen Hameed Mohamed</t>
  </si>
  <si>
    <t>Shailesh Thulaskar</t>
  </si>
  <si>
    <t>Rahul Thukral</t>
  </si>
  <si>
    <t>Sivakumar Thangasamy Suriyamoorthy</t>
  </si>
  <si>
    <t>Srivathsan V B</t>
  </si>
  <si>
    <t>Subhashish Parida</t>
  </si>
  <si>
    <t>Suresh Chidambaram</t>
  </si>
  <si>
    <t>Sudir Sharma</t>
  </si>
  <si>
    <t>Ravinder Singh</t>
  </si>
  <si>
    <t>Venkatesh Rajendran</t>
  </si>
  <si>
    <t>Suresh Kumar</t>
  </si>
  <si>
    <t>Rikesh Parikh</t>
  </si>
  <si>
    <t>Vinod Verghese</t>
  </si>
  <si>
    <t>Vishnu Kumar</t>
  </si>
  <si>
    <t>Shekhar Saraf</t>
  </si>
  <si>
    <t>Vishwajit Tripathi</t>
  </si>
  <si>
    <t>Sushant Gambhir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</si>
</sst>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4809]d\ mmmm\,\ yyyy;@"/>
    <numFmt numFmtId="165" formatCode="0.000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0" tint="-0.499984740745262"/>
      <name val="Calibri"/>
      <family val="2"/>
      <scheme val="minor"/>
    </font>
    <font>
      <b/>
      <sz val="20"/>
      <color rgb="FFFFFF00"/>
      <name val="Arial"/>
      <family val="2"/>
    </font>
    <font>
      <sz val="11"/>
      <color theme="9" tint="0.3999755851924192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499984740745262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gradientFill>
        <stop position="0">
          <color theme="4" tint="0.80001220740379042"/>
        </stop>
        <stop position="0.5">
          <color theme="0"/>
        </stop>
        <stop position="1">
          <color theme="4" tint="0.80001220740379042"/>
        </stop>
      </gradientFill>
    </fill>
    <fill>
      <gradientFill>
        <stop position="0">
          <color theme="3" tint="0.59999389629810485"/>
        </stop>
        <stop position="0.5">
          <color theme="0"/>
        </stop>
        <stop position="1">
          <color theme="3" tint="0.59999389629810485"/>
        </stop>
      </gradient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86">
    <xf numFmtId="0" fontId="0" fillId="0" borderId="0" xfId="0"/>
    <xf numFmtId="0" fontId="0" fillId="0" borderId="0" xfId="0" applyAlignment="1">
      <alignment horizontal="center"/>
    </xf>
    <xf numFmtId="0" fontId="0" fillId="3" borderId="1" xfId="0" applyFill="1" applyBorder="1"/>
    <xf numFmtId="0" fontId="6" fillId="0" borderId="0" xfId="1" applyAlignment="1" applyProtection="1">
      <alignment wrapText="1"/>
    </xf>
    <xf numFmtId="2" fontId="0" fillId="0" borderId="0" xfId="0" applyNumberFormat="1" applyFill="1" applyBorder="1" applyProtection="1"/>
    <xf numFmtId="0" fontId="0" fillId="2" borderId="0" xfId="0" applyFill="1" applyProtection="1">
      <protection locked="0"/>
    </xf>
    <xf numFmtId="0" fontId="0" fillId="2" borderId="18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7" fillId="4" borderId="0" xfId="0" applyFont="1" applyFill="1" applyAlignment="1" applyProtection="1">
      <protection locked="0"/>
    </xf>
    <xf numFmtId="0" fontId="5" fillId="4" borderId="0" xfId="0" applyFont="1" applyFill="1" applyAlignment="1" applyProtection="1">
      <protection locked="0"/>
    </xf>
    <xf numFmtId="0" fontId="0" fillId="0" borderId="0" xfId="0" applyProtection="1"/>
    <xf numFmtId="0" fontId="0" fillId="0" borderId="0" xfId="0" applyFill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14" xfId="0" applyBorder="1" applyProtection="1"/>
    <xf numFmtId="0" fontId="0" fillId="0" borderId="18" xfId="0" applyBorder="1" applyProtection="1"/>
    <xf numFmtId="0" fontId="0" fillId="0" borderId="15" xfId="0" applyBorder="1" applyProtection="1"/>
    <xf numFmtId="0" fontId="0" fillId="0" borderId="6" xfId="0" applyBorder="1" applyAlignment="1" applyProtection="1">
      <alignment horizontal="center"/>
    </xf>
    <xf numFmtId="0" fontId="0" fillId="0" borderId="22" xfId="0" applyBorder="1" applyProtection="1"/>
    <xf numFmtId="0" fontId="0" fillId="0" borderId="16" xfId="0" applyBorder="1" applyProtection="1"/>
    <xf numFmtId="0" fontId="0" fillId="0" borderId="6" xfId="0" applyBorder="1" applyAlignment="1" applyProtection="1">
      <alignment horizontal="left"/>
    </xf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0" fillId="0" borderId="7" xfId="0" applyBorder="1" applyProtection="1"/>
    <xf numFmtId="0" fontId="0" fillId="0" borderId="6" xfId="0" applyBorder="1" applyProtection="1"/>
    <xf numFmtId="0" fontId="3" fillId="0" borderId="0" xfId="0" applyFont="1" applyFill="1" applyBorder="1" applyAlignment="1" applyProtection="1">
      <alignment horizontal="right"/>
    </xf>
    <xf numFmtId="0" fontId="0" fillId="0" borderId="25" xfId="0" applyBorder="1" applyProtection="1"/>
    <xf numFmtId="0" fontId="0" fillId="0" borderId="26" xfId="0" applyBorder="1" applyAlignment="1" applyProtection="1">
      <alignment horizontal="center"/>
    </xf>
    <xf numFmtId="1" fontId="0" fillId="0" borderId="26" xfId="0" applyNumberFormat="1" applyFill="1" applyBorder="1" applyProtection="1"/>
    <xf numFmtId="0" fontId="0" fillId="0" borderId="26" xfId="0" applyBorder="1" applyProtection="1"/>
    <xf numFmtId="0" fontId="0" fillId="0" borderId="27" xfId="0" applyBorder="1" applyProtection="1"/>
    <xf numFmtId="0" fontId="0" fillId="0" borderId="0" xfId="0" applyFill="1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21" xfId="0" applyFill="1" applyBorder="1" applyProtection="1"/>
    <xf numFmtId="0" fontId="0" fillId="0" borderId="24" xfId="0" applyFill="1" applyBorder="1" applyProtection="1"/>
    <xf numFmtId="0" fontId="1" fillId="0" borderId="2" xfId="0" applyFont="1" applyFill="1" applyBorder="1" applyProtection="1"/>
    <xf numFmtId="0" fontId="0" fillId="0" borderId="4" xfId="0" applyBorder="1" applyAlignment="1" applyProtection="1">
      <alignment horizontal="right"/>
    </xf>
    <xf numFmtId="0" fontId="0" fillId="0" borderId="4" xfId="0" applyBorder="1" applyAlignment="1" applyProtection="1">
      <alignment horizontal="center"/>
    </xf>
    <xf numFmtId="0" fontId="0" fillId="0" borderId="4" xfId="0" applyBorder="1" applyAlignment="1" applyProtection="1">
      <alignment horizontal="left"/>
    </xf>
    <xf numFmtId="0" fontId="0" fillId="0" borderId="5" xfId="0" applyBorder="1" applyProtection="1"/>
    <xf numFmtId="0" fontId="0" fillId="0" borderId="11" xfId="0" applyBorder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5" fillId="4" borderId="0" xfId="0" applyFont="1" applyFill="1" applyProtection="1"/>
    <xf numFmtId="0" fontId="5" fillId="4" borderId="18" xfId="0" applyFont="1" applyFill="1" applyBorder="1" applyProtection="1"/>
    <xf numFmtId="0" fontId="0" fillId="0" borderId="0" xfId="0" applyAlignment="1" applyProtection="1">
      <alignment wrapText="1"/>
    </xf>
    <xf numFmtId="0" fontId="0" fillId="0" borderId="0" xfId="0" applyAlignment="1" applyProtection="1"/>
    <xf numFmtId="0" fontId="5" fillId="4" borderId="0" xfId="0" applyFont="1" applyFill="1" applyBorder="1" applyProtection="1"/>
    <xf numFmtId="0" fontId="0" fillId="0" borderId="0" xfId="0" quotePrefix="1"/>
    <xf numFmtId="0" fontId="3" fillId="0" borderId="0" xfId="0" applyFont="1"/>
    <xf numFmtId="0" fontId="0" fillId="0" borderId="0" xfId="0" applyAlignment="1">
      <alignment horizontal="right"/>
    </xf>
    <xf numFmtId="0" fontId="0" fillId="3" borderId="2" xfId="0" applyFill="1" applyBorder="1"/>
    <xf numFmtId="0" fontId="0" fillId="3" borderId="29" xfId="0" applyFill="1" applyBorder="1"/>
    <xf numFmtId="0" fontId="0" fillId="3" borderId="28" xfId="0" applyFill="1" applyBorder="1"/>
    <xf numFmtId="0" fontId="9" fillId="4" borderId="19" xfId="0" applyFont="1" applyFill="1" applyBorder="1"/>
    <xf numFmtId="0" fontId="9" fillId="4" borderId="0" xfId="0" applyFont="1" applyFill="1" applyBorder="1"/>
    <xf numFmtId="0" fontId="9" fillId="4" borderId="0" xfId="0" applyFont="1" applyFill="1"/>
    <xf numFmtId="0" fontId="9" fillId="4" borderId="18" xfId="0" applyFont="1" applyFill="1" applyBorder="1"/>
    <xf numFmtId="0" fontId="2" fillId="0" borderId="0" xfId="0" applyFont="1"/>
    <xf numFmtId="0" fontId="0" fillId="4" borderId="18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0" xfId="0" applyFill="1" applyBorder="1" applyAlignment="1" applyProtection="1">
      <alignment horizontal="right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left"/>
      <protection locked="0"/>
    </xf>
    <xf numFmtId="0" fontId="0" fillId="4" borderId="8" xfId="0" applyFill="1" applyBorder="1" applyProtection="1">
      <protection locked="0"/>
    </xf>
    <xf numFmtId="0" fontId="0" fillId="4" borderId="9" xfId="0" applyFill="1" applyBorder="1" applyAlignment="1" applyProtection="1">
      <alignment horizontal="right"/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left"/>
      <protection locked="0"/>
    </xf>
    <xf numFmtId="1" fontId="0" fillId="2" borderId="0" xfId="0" applyNumberFormat="1" applyFill="1" applyBorder="1" applyProtection="1">
      <protection locked="0"/>
    </xf>
    <xf numFmtId="164" fontId="0" fillId="2" borderId="0" xfId="0" applyNumberFormat="1" applyFill="1" applyAlignment="1" applyProtection="1">
      <protection locked="0"/>
    </xf>
    <xf numFmtId="2" fontId="0" fillId="0" borderId="0" xfId="0" applyNumberFormat="1" applyAlignment="1" applyProtection="1"/>
    <xf numFmtId="0" fontId="0" fillId="0" borderId="0" xfId="0" applyAlignment="1" applyProtection="1">
      <alignment horizontal="center"/>
    </xf>
    <xf numFmtId="0" fontId="4" fillId="8" borderId="0" xfId="0" applyFont="1" applyFill="1" applyProtection="1"/>
    <xf numFmtId="0" fontId="4" fillId="8" borderId="18" xfId="0" applyFont="1" applyFill="1" applyBorder="1" applyProtection="1"/>
    <xf numFmtId="0" fontId="4" fillId="8" borderId="19" xfId="0" applyFont="1" applyFill="1" applyBorder="1" applyProtection="1"/>
    <xf numFmtId="0" fontId="4" fillId="8" borderId="0" xfId="0" applyFont="1" applyFill="1" applyBorder="1" applyProtection="1"/>
    <xf numFmtId="0" fontId="0" fillId="8" borderId="0" xfId="0" applyFill="1" applyProtection="1"/>
    <xf numFmtId="0" fontId="10" fillId="0" borderId="5" xfId="0" applyFont="1" applyBorder="1" applyProtection="1"/>
    <xf numFmtId="0" fontId="0" fillId="9" borderId="7" xfId="0" applyFill="1" applyBorder="1" applyProtection="1">
      <protection locked="0"/>
    </xf>
    <xf numFmtId="0" fontId="0" fillId="9" borderId="18" xfId="0" applyFill="1" applyBorder="1" applyProtection="1">
      <protection locked="0"/>
    </xf>
    <xf numFmtId="0" fontId="0" fillId="9" borderId="15" xfId="0" applyFill="1" applyBorder="1" applyProtection="1">
      <protection locked="0"/>
    </xf>
    <xf numFmtId="0" fontId="0" fillId="9" borderId="0" xfId="0" applyFill="1" applyBorder="1" applyProtection="1">
      <protection locked="0"/>
    </xf>
    <xf numFmtId="0" fontId="0" fillId="9" borderId="23" xfId="0" applyFill="1" applyBorder="1" applyProtection="1">
      <protection locked="0"/>
    </xf>
    <xf numFmtId="0" fontId="0" fillId="9" borderId="19" xfId="0" applyFill="1" applyBorder="1" applyProtection="1">
      <protection locked="0"/>
    </xf>
    <xf numFmtId="0" fontId="0" fillId="9" borderId="17" xfId="0" applyFill="1" applyBorder="1" applyProtection="1">
      <protection locked="0"/>
    </xf>
    <xf numFmtId="0" fontId="10" fillId="9" borderId="3" xfId="0" applyFont="1" applyFill="1" applyBorder="1" applyProtection="1"/>
    <xf numFmtId="0" fontId="10" fillId="9" borderId="5" xfId="0" applyFont="1" applyFill="1" applyBorder="1" applyProtection="1"/>
    <xf numFmtId="0" fontId="10" fillId="9" borderId="6" xfId="0" applyFont="1" applyFill="1" applyBorder="1" applyProtection="1">
      <protection locked="0"/>
    </xf>
    <xf numFmtId="0" fontId="10" fillId="9" borderId="7" xfId="0" applyFont="1" applyFill="1" applyBorder="1" applyProtection="1">
      <protection locked="0"/>
    </xf>
    <xf numFmtId="0" fontId="10" fillId="9" borderId="8" xfId="0" applyFont="1" applyFill="1" applyBorder="1" applyProtection="1">
      <protection locked="0"/>
    </xf>
    <xf numFmtId="0" fontId="10" fillId="9" borderId="10" xfId="0" applyFont="1" applyFill="1" applyBorder="1" applyProtection="1">
      <protection locked="0"/>
    </xf>
    <xf numFmtId="0" fontId="5" fillId="8" borderId="0" xfId="0" applyFont="1" applyFill="1" applyBorder="1" applyProtection="1"/>
    <xf numFmtId="0" fontId="5" fillId="8" borderId="0" xfId="0" applyFont="1" applyFill="1" applyProtection="1"/>
    <xf numFmtId="0" fontId="0" fillId="8" borderId="0" xfId="0" applyFill="1" applyBorder="1" applyProtection="1"/>
    <xf numFmtId="0" fontId="5" fillId="8" borderId="4" xfId="0" applyFont="1" applyFill="1" applyBorder="1" applyAlignment="1" applyProtection="1"/>
    <xf numFmtId="0" fontId="5" fillId="8" borderId="0" xfId="0" applyFont="1" applyFill="1" applyBorder="1" applyAlignment="1" applyProtection="1">
      <alignment horizontal="center"/>
    </xf>
    <xf numFmtId="2" fontId="5" fillId="8" borderId="0" xfId="0" applyNumberFormat="1" applyFont="1" applyFill="1" applyBorder="1" applyAlignment="1" applyProtection="1"/>
    <xf numFmtId="2" fontId="5" fillId="8" borderId="32" xfId="0" applyNumberFormat="1" applyFont="1" applyFill="1" applyBorder="1" applyAlignment="1" applyProtection="1"/>
    <xf numFmtId="2" fontId="5" fillId="8" borderId="1" xfId="0" applyNumberFormat="1" applyFont="1" applyFill="1" applyBorder="1" applyAlignment="1" applyProtection="1"/>
    <xf numFmtId="2" fontId="5" fillId="8" borderId="21" xfId="0" applyNumberFormat="1" applyFont="1" applyFill="1" applyBorder="1" applyAlignment="1" applyProtection="1"/>
    <xf numFmtId="2" fontId="5" fillId="8" borderId="37" xfId="0" applyNumberFormat="1" applyFont="1" applyFill="1" applyBorder="1" applyAlignment="1" applyProtection="1"/>
    <xf numFmtId="0" fontId="5" fillId="8" borderId="0" xfId="0" applyFont="1" applyFill="1" applyBorder="1" applyAlignment="1" applyProtection="1"/>
    <xf numFmtId="165" fontId="5" fillId="8" borderId="0" xfId="0" applyNumberFormat="1" applyFont="1" applyFill="1" applyBorder="1" applyAlignment="1" applyProtection="1"/>
    <xf numFmtId="0" fontId="5" fillId="8" borderId="7" xfId="0" applyFont="1" applyFill="1" applyBorder="1" applyAlignment="1" applyProtection="1">
      <alignment horizontal="center"/>
    </xf>
    <xf numFmtId="0" fontId="5" fillId="8" borderId="9" xfId="0" applyFont="1" applyFill="1" applyBorder="1" applyAlignment="1" applyProtection="1">
      <alignment horizontal="center"/>
    </xf>
    <xf numFmtId="2" fontId="5" fillId="8" borderId="9" xfId="0" applyNumberFormat="1" applyFont="1" applyFill="1" applyBorder="1" applyAlignment="1" applyProtection="1"/>
    <xf numFmtId="2" fontId="5" fillId="8" borderId="33" xfId="0" applyNumberFormat="1" applyFont="1" applyFill="1" applyBorder="1" applyAlignment="1" applyProtection="1"/>
    <xf numFmtId="2" fontId="5" fillId="8" borderId="20" xfId="0" applyNumberFormat="1" applyFont="1" applyFill="1" applyBorder="1" applyAlignment="1" applyProtection="1"/>
    <xf numFmtId="2" fontId="5" fillId="8" borderId="35" xfId="0" applyNumberFormat="1" applyFont="1" applyFill="1" applyBorder="1" applyAlignment="1" applyProtection="1"/>
    <xf numFmtId="2" fontId="5" fillId="8" borderId="38" xfId="0" applyNumberFormat="1" applyFont="1" applyFill="1" applyBorder="1" applyAlignment="1" applyProtection="1"/>
    <xf numFmtId="0" fontId="5" fillId="8" borderId="9" xfId="0" applyFont="1" applyFill="1" applyBorder="1" applyAlignment="1" applyProtection="1"/>
    <xf numFmtId="165" fontId="5" fillId="8" borderId="9" xfId="0" applyNumberFormat="1" applyFont="1" applyFill="1" applyBorder="1" applyAlignment="1" applyProtection="1"/>
    <xf numFmtId="0" fontId="5" fillId="8" borderId="10" xfId="0" applyFont="1" applyFill="1" applyBorder="1" applyAlignment="1" applyProtection="1">
      <alignment horizontal="center"/>
    </xf>
    <xf numFmtId="0" fontId="0" fillId="9" borderId="14" xfId="0" applyFill="1" applyBorder="1" applyProtection="1">
      <protection locked="0"/>
    </xf>
    <xf numFmtId="0" fontId="0" fillId="9" borderId="22" xfId="0" applyFill="1" applyBorder="1" applyProtection="1">
      <protection locked="0"/>
    </xf>
    <xf numFmtId="0" fontId="0" fillId="9" borderId="16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19" xfId="0" applyFill="1" applyBorder="1" applyProtection="1"/>
    <xf numFmtId="0" fontId="5" fillId="8" borderId="3" xfId="0" applyFont="1" applyFill="1" applyBorder="1" applyAlignment="1" applyProtection="1"/>
    <xf numFmtId="0" fontId="5" fillId="8" borderId="4" xfId="0" applyFont="1" applyFill="1" applyBorder="1" applyAlignment="1" applyProtection="1">
      <alignment horizontal="center"/>
    </xf>
    <xf numFmtId="0" fontId="5" fillId="8" borderId="30" xfId="0" applyFont="1" applyFill="1" applyBorder="1" applyAlignment="1" applyProtection="1">
      <alignment horizontal="center"/>
    </xf>
    <xf numFmtId="0" fontId="5" fillId="8" borderId="31" xfId="0" applyFont="1" applyFill="1" applyBorder="1" applyAlignment="1" applyProtection="1">
      <alignment horizontal="center"/>
    </xf>
    <xf numFmtId="0" fontId="5" fillId="8" borderId="34" xfId="0" applyFont="1" applyFill="1" applyBorder="1" applyAlignment="1" applyProtection="1">
      <alignment horizontal="center"/>
    </xf>
    <xf numFmtId="0" fontId="5" fillId="8" borderId="36" xfId="0" applyFont="1" applyFill="1" applyBorder="1" applyAlignment="1" applyProtection="1">
      <alignment horizontal="center"/>
    </xf>
    <xf numFmtId="0" fontId="5" fillId="8" borderId="5" xfId="0" applyFont="1" applyFill="1" applyBorder="1" applyAlignment="1" applyProtection="1">
      <alignment horizontal="center"/>
    </xf>
    <xf numFmtId="0" fontId="5" fillId="8" borderId="6" xfId="0" applyFont="1" applyFill="1" applyBorder="1" applyAlignment="1" applyProtection="1"/>
    <xf numFmtId="1" fontId="5" fillId="8" borderId="0" xfId="0" applyNumberFormat="1" applyFont="1" applyFill="1" applyBorder="1" applyAlignment="1" applyProtection="1"/>
    <xf numFmtId="0" fontId="5" fillId="8" borderId="8" xfId="0" applyFont="1" applyFill="1" applyBorder="1" applyAlignment="1" applyProtection="1"/>
    <xf numFmtId="1" fontId="5" fillId="8" borderId="9" xfId="0" applyNumberFormat="1" applyFont="1" applyFill="1" applyBorder="1" applyAlignment="1" applyProtection="1"/>
    <xf numFmtId="0" fontId="0" fillId="9" borderId="12" xfId="0" applyFill="1" applyBorder="1" applyProtection="1">
      <protection locked="0"/>
    </xf>
    <xf numFmtId="0" fontId="0" fillId="9" borderId="13" xfId="0" applyFill="1" applyBorder="1" applyProtection="1">
      <protection locked="0"/>
    </xf>
    <xf numFmtId="0" fontId="0" fillId="4" borderId="0" xfId="0" applyFill="1" applyAlignment="1" applyProtection="1">
      <protection locked="0"/>
    </xf>
    <xf numFmtId="164" fontId="0" fillId="2" borderId="0" xfId="0" applyNumberFormat="1" applyFill="1" applyProtection="1">
      <protection locked="0"/>
    </xf>
    <xf numFmtId="0" fontId="0" fillId="2" borderId="14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4" fillId="9" borderId="0" xfId="0" applyFont="1" applyFill="1" applyBorder="1" applyAlignment="1" applyProtection="1">
      <alignment horizontal="center"/>
      <protection locked="0"/>
    </xf>
    <xf numFmtId="0" fontId="4" fillId="9" borderId="19" xfId="0" applyFont="1" applyFill="1" applyBorder="1" applyAlignment="1" applyProtection="1">
      <alignment horizontal="center"/>
      <protection locked="0"/>
    </xf>
    <xf numFmtId="0" fontId="0" fillId="9" borderId="5" xfId="0" applyFill="1" applyBorder="1" applyProtection="1"/>
    <xf numFmtId="0" fontId="0" fillId="0" borderId="16" xfId="0" applyFill="1" applyBorder="1" applyProtection="1"/>
    <xf numFmtId="0" fontId="10" fillId="9" borderId="18" xfId="0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center"/>
    </xf>
    <xf numFmtId="0" fontId="4" fillId="0" borderId="23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7" fillId="10" borderId="0" xfId="0" applyFont="1" applyFill="1" applyAlignment="1" applyProtection="1">
      <protection locked="0"/>
    </xf>
    <xf numFmtId="0" fontId="11" fillId="4" borderId="0" xfId="0" applyFont="1" applyFill="1" applyProtection="1"/>
    <xf numFmtId="0" fontId="6" fillId="0" borderId="0" xfId="1" applyAlignment="1" applyProtection="1"/>
    <xf numFmtId="0" fontId="7" fillId="11" borderId="0" xfId="0" applyFont="1" applyFill="1" applyAlignment="1" applyProtection="1">
      <protection locked="0"/>
    </xf>
    <xf numFmtId="0" fontId="10" fillId="0" borderId="0" xfId="0" applyFont="1" applyFill="1"/>
    <xf numFmtId="0" fontId="12" fillId="0" borderId="0" xfId="0" applyFont="1" applyFill="1" applyAlignment="1" applyProtection="1">
      <protection locked="0"/>
    </xf>
    <xf numFmtId="0" fontId="5" fillId="8" borderId="0" xfId="0" applyFont="1" applyFill="1" applyAlignment="1" applyProtection="1"/>
    <xf numFmtId="0" fontId="0" fillId="0" borderId="0" xfId="0" applyAlignment="1" applyProtection="1">
      <protection locked="0"/>
    </xf>
    <xf numFmtId="0" fontId="8" fillId="7" borderId="6" xfId="0" applyFont="1" applyFill="1" applyBorder="1" applyAlignment="1" applyProtection="1">
      <alignment horizontal="center"/>
    </xf>
    <xf numFmtId="0" fontId="8" fillId="7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13" fillId="11" borderId="0" xfId="1" applyFont="1" applyFill="1" applyAlignment="1" applyProtection="1">
      <protection locked="0"/>
    </xf>
    <xf numFmtId="0" fontId="13" fillId="4" borderId="0" xfId="1" applyFont="1" applyFill="1" applyAlignment="1" applyProtection="1">
      <protection locked="0"/>
    </xf>
    <xf numFmtId="0" fontId="5" fillId="0" borderId="0" xfId="0" applyFont="1" applyFill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25</xdr:row>
      <xdr:rowOff>0</xdr:rowOff>
    </xdr:from>
    <xdr:to>
      <xdr:col>9</xdr:col>
      <xdr:colOff>476250</xdr:colOff>
      <xdr:row>46</xdr:row>
      <xdr:rowOff>171450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4762500"/>
          <a:ext cx="5391150" cy="4171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73"/>
  <sheetViews>
    <sheetView tabSelected="1" zoomScaleNormal="100" workbookViewId="0">
      <selection sqref="A1:P1"/>
    </sheetView>
  </sheetViews>
  <sheetFormatPr defaultRowHeight="15" x14ac:dyDescent="0.25"/>
  <cols>
    <col min="1" max="1" width="14" style="19" customWidth="1"/>
    <col min="2" max="2" width="27" style="19" customWidth="1"/>
    <col min="3" max="3" width="18.28515625" style="19" customWidth="1"/>
    <col min="4" max="4" width="21" style="19" customWidth="1"/>
    <col min="5" max="5" width="17.7109375" style="19" customWidth="1"/>
    <col min="6" max="6" width="4.42578125" style="19" customWidth="1"/>
    <col min="7" max="7" width="4.85546875" style="19" customWidth="1"/>
    <col min="8" max="8" width="8.140625" style="19" customWidth="1"/>
    <col min="9" max="9" width="10.7109375" style="19" customWidth="1"/>
    <col min="10" max="10" width="4.42578125" style="19" customWidth="1"/>
    <col min="11" max="26" width="9.140625" style="19"/>
    <col min="27" max="27" width="11.5703125" style="19" bestFit="1" customWidth="1"/>
    <col min="28" max="28" width="10.5703125" style="19" bestFit="1" customWidth="1"/>
    <col min="29" max="33" width="9.140625" style="19"/>
    <col min="34" max="34" width="18" style="19" customWidth="1"/>
    <col min="35" max="35" width="21" style="19" customWidth="1"/>
    <col min="36" max="36" width="8.140625" style="19" customWidth="1"/>
    <col min="37" max="37" width="7.85546875" style="19" customWidth="1"/>
    <col min="38" max="43" width="9.140625" style="19"/>
    <col min="44" max="45" width="9.140625" style="86"/>
    <col min="46" max="16384" width="9.140625" style="19"/>
  </cols>
  <sheetData>
    <row r="1" spans="1:17" ht="26.25" x14ac:dyDescent="0.4">
      <c r="A1" s="168" t="s">
        <v>107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</row>
    <row r="2" spans="1:17" x14ac:dyDescent="0.25">
      <c r="A2" s="19" t="s">
        <v>55</v>
      </c>
      <c r="B2" s="5"/>
      <c r="E2" s="19" t="s">
        <v>0</v>
      </c>
      <c r="H2" s="84"/>
      <c r="I2" s="20"/>
      <c r="K2" s="128" t="s">
        <v>65</v>
      </c>
      <c r="L2" s="94"/>
      <c r="M2" s="94"/>
      <c r="N2" s="94"/>
      <c r="O2" s="94"/>
      <c r="P2" s="95"/>
    </row>
    <row r="3" spans="1:17" x14ac:dyDescent="0.25">
      <c r="A3" s="19" t="s">
        <v>159</v>
      </c>
      <c r="B3" s="5"/>
      <c r="E3" s="19" t="s">
        <v>2</v>
      </c>
      <c r="H3" s="5"/>
      <c r="I3" s="20"/>
      <c r="K3" s="129"/>
      <c r="L3" s="96"/>
      <c r="M3" s="96"/>
      <c r="N3" s="96"/>
      <c r="O3" s="96"/>
      <c r="P3" s="97"/>
    </row>
    <row r="4" spans="1:17" x14ac:dyDescent="0.25">
      <c r="A4" s="19" t="s">
        <v>160</v>
      </c>
      <c r="B4" s="5"/>
      <c r="E4" s="19" t="s">
        <v>1</v>
      </c>
      <c r="H4" s="5"/>
      <c r="I4" s="20"/>
      <c r="K4" s="130"/>
      <c r="L4" s="98"/>
      <c r="M4" s="98"/>
      <c r="N4" s="98"/>
      <c r="O4" s="98"/>
      <c r="P4" s="99"/>
    </row>
    <row r="5" spans="1:17" x14ac:dyDescent="0.25">
      <c r="A5" s="19" t="s">
        <v>59</v>
      </c>
      <c r="B5" s="5"/>
    </row>
    <row r="6" spans="1:17" ht="15.75" thickBot="1" x14ac:dyDescent="0.3">
      <c r="A6" s="19" t="s">
        <v>5</v>
      </c>
      <c r="K6" s="19" t="s">
        <v>18</v>
      </c>
    </row>
    <row r="7" spans="1:17" x14ac:dyDescent="0.25">
      <c r="A7" s="21" t="s">
        <v>6</v>
      </c>
      <c r="B7" s="22" t="s">
        <v>7</v>
      </c>
      <c r="C7" s="22" t="s">
        <v>8</v>
      </c>
      <c r="D7" s="22" t="s">
        <v>66</v>
      </c>
      <c r="E7" s="22" t="s">
        <v>9</v>
      </c>
      <c r="F7" s="22" t="s">
        <v>10</v>
      </c>
      <c r="G7" s="22" t="s">
        <v>12</v>
      </c>
      <c r="H7" s="22" t="s">
        <v>28</v>
      </c>
      <c r="I7" s="22" t="s">
        <v>11</v>
      </c>
      <c r="J7" s="22" t="s">
        <v>13</v>
      </c>
      <c r="K7" s="92" t="s">
        <v>80</v>
      </c>
      <c r="M7" s="23" t="s">
        <v>20</v>
      </c>
      <c r="N7" s="24" t="s">
        <v>19</v>
      </c>
      <c r="O7" s="24" t="s">
        <v>73</v>
      </c>
      <c r="P7" s="25" t="s">
        <v>74</v>
      </c>
      <c r="Q7" s="106" t="s">
        <v>179</v>
      </c>
    </row>
    <row r="8" spans="1:17" x14ac:dyDescent="0.25">
      <c r="A8" s="26">
        <v>1</v>
      </c>
      <c r="B8" s="8"/>
      <c r="C8" s="8"/>
      <c r="D8" s="71"/>
      <c r="E8" s="71"/>
      <c r="F8" s="8"/>
      <c r="G8" s="8"/>
      <c r="H8" s="4" t="e">
        <f>100*F8/G8</f>
        <v>#DIV/0!</v>
      </c>
      <c r="I8" s="83"/>
      <c r="J8" s="83"/>
      <c r="K8" s="93"/>
      <c r="M8" s="27">
        <v>1</v>
      </c>
      <c r="N8" s="8"/>
      <c r="O8" s="8"/>
      <c r="P8" s="9"/>
      <c r="Q8" s="107">
        <f>N8</f>
        <v>0</v>
      </c>
    </row>
    <row r="9" spans="1:17" x14ac:dyDescent="0.25">
      <c r="A9" s="26">
        <v>2</v>
      </c>
      <c r="B9" s="8"/>
      <c r="C9" s="8"/>
      <c r="D9" s="71"/>
      <c r="E9" s="71"/>
      <c r="F9" s="8"/>
      <c r="G9" s="8"/>
      <c r="H9" s="4" t="e">
        <f t="shared" ref="H9:H18" si="0">100*F9/G9</f>
        <v>#DIV/0!</v>
      </c>
      <c r="I9" s="83"/>
      <c r="J9" s="83"/>
      <c r="K9" s="93"/>
      <c r="M9" s="27">
        <v>2</v>
      </c>
      <c r="N9" s="8"/>
      <c r="O9" s="8"/>
      <c r="P9" s="9"/>
      <c r="Q9" s="107">
        <f>N9-N8</f>
        <v>0</v>
      </c>
    </row>
    <row r="10" spans="1:17" x14ac:dyDescent="0.25">
      <c r="A10" s="26">
        <v>3</v>
      </c>
      <c r="B10" s="8"/>
      <c r="C10" s="8"/>
      <c r="D10" s="71"/>
      <c r="E10" s="71"/>
      <c r="F10" s="8"/>
      <c r="G10" s="8"/>
      <c r="H10" s="4" t="e">
        <f t="shared" si="0"/>
        <v>#DIV/0!</v>
      </c>
      <c r="I10" s="83"/>
      <c r="J10" s="83"/>
      <c r="K10" s="93"/>
      <c r="M10" s="27">
        <v>3</v>
      </c>
      <c r="N10" s="8"/>
      <c r="O10" s="8"/>
      <c r="P10" s="9"/>
      <c r="Q10" s="107">
        <f t="shared" ref="Q10:Q17" si="1">N10-N9</f>
        <v>0</v>
      </c>
    </row>
    <row r="11" spans="1:17" x14ac:dyDescent="0.25">
      <c r="A11" s="26">
        <v>4</v>
      </c>
      <c r="B11" s="8"/>
      <c r="C11" s="8"/>
      <c r="D11" s="71"/>
      <c r="E11" s="71"/>
      <c r="F11" s="8"/>
      <c r="G11" s="8"/>
      <c r="H11" s="4" t="e">
        <f t="shared" si="0"/>
        <v>#DIV/0!</v>
      </c>
      <c r="I11" s="83"/>
      <c r="J11" s="83"/>
      <c r="K11" s="93"/>
      <c r="M11" s="27">
        <v>4</v>
      </c>
      <c r="N11" s="8"/>
      <c r="O11" s="8"/>
      <c r="P11" s="9"/>
      <c r="Q11" s="107">
        <f t="shared" si="1"/>
        <v>0</v>
      </c>
    </row>
    <row r="12" spans="1:17" x14ac:dyDescent="0.25">
      <c r="A12" s="26">
        <v>5</v>
      </c>
      <c r="B12" s="8"/>
      <c r="C12" s="8"/>
      <c r="D12" s="71"/>
      <c r="E12" s="71"/>
      <c r="F12" s="8"/>
      <c r="G12" s="8"/>
      <c r="H12" s="4" t="e">
        <f t="shared" si="0"/>
        <v>#DIV/0!</v>
      </c>
      <c r="I12" s="83"/>
      <c r="J12" s="83"/>
      <c r="K12" s="93"/>
      <c r="M12" s="27">
        <v>5</v>
      </c>
      <c r="N12" s="8"/>
      <c r="O12" s="8"/>
      <c r="P12" s="9"/>
      <c r="Q12" s="107">
        <f t="shared" si="1"/>
        <v>0</v>
      </c>
    </row>
    <row r="13" spans="1:17" x14ac:dyDescent="0.25">
      <c r="A13" s="26">
        <v>6</v>
      </c>
      <c r="B13" s="8"/>
      <c r="C13" s="8"/>
      <c r="D13" s="71"/>
      <c r="E13" s="71"/>
      <c r="F13" s="8"/>
      <c r="G13" s="8"/>
      <c r="H13" s="4" t="e">
        <f t="shared" si="0"/>
        <v>#DIV/0!</v>
      </c>
      <c r="I13" s="83"/>
      <c r="J13" s="83"/>
      <c r="K13" s="93"/>
      <c r="M13" s="27">
        <v>6</v>
      </c>
      <c r="N13" s="8"/>
      <c r="O13" s="8"/>
      <c r="P13" s="9"/>
      <c r="Q13" s="107">
        <f t="shared" si="1"/>
        <v>0</v>
      </c>
    </row>
    <row r="14" spans="1:17" x14ac:dyDescent="0.25">
      <c r="A14" s="26">
        <v>7</v>
      </c>
      <c r="B14" s="8"/>
      <c r="C14" s="8"/>
      <c r="D14" s="71"/>
      <c r="E14" s="71"/>
      <c r="F14" s="8"/>
      <c r="G14" s="8"/>
      <c r="H14" s="4" t="e">
        <f t="shared" si="0"/>
        <v>#DIV/0!</v>
      </c>
      <c r="I14" s="83"/>
      <c r="J14" s="83"/>
      <c r="K14" s="93"/>
      <c r="M14" s="27">
        <v>7</v>
      </c>
      <c r="N14" s="8"/>
      <c r="O14" s="8"/>
      <c r="P14" s="9"/>
      <c r="Q14" s="107">
        <f t="shared" si="1"/>
        <v>0</v>
      </c>
    </row>
    <row r="15" spans="1:17" x14ac:dyDescent="0.25">
      <c r="A15" s="26">
        <v>8</v>
      </c>
      <c r="B15" s="8"/>
      <c r="C15" s="8"/>
      <c r="D15" s="71"/>
      <c r="E15" s="71"/>
      <c r="F15" s="8"/>
      <c r="G15" s="8"/>
      <c r="H15" s="4" t="e">
        <f t="shared" si="0"/>
        <v>#DIV/0!</v>
      </c>
      <c r="I15" s="83"/>
      <c r="J15" s="83"/>
      <c r="K15" s="93"/>
      <c r="M15" s="27">
        <v>8</v>
      </c>
      <c r="N15" s="8"/>
      <c r="O15" s="8"/>
      <c r="P15" s="9"/>
      <c r="Q15" s="107">
        <f t="shared" si="1"/>
        <v>0</v>
      </c>
    </row>
    <row r="16" spans="1:17" x14ac:dyDescent="0.25">
      <c r="A16" s="26">
        <v>9</v>
      </c>
      <c r="B16" s="8"/>
      <c r="C16" s="8"/>
      <c r="D16" s="71"/>
      <c r="E16" s="71"/>
      <c r="F16" s="8"/>
      <c r="G16" s="8"/>
      <c r="H16" s="4" t="e">
        <f t="shared" si="0"/>
        <v>#DIV/0!</v>
      </c>
      <c r="I16" s="83"/>
      <c r="J16" s="83"/>
      <c r="K16" s="93"/>
      <c r="M16" s="27">
        <v>9</v>
      </c>
      <c r="N16" s="8"/>
      <c r="O16" s="8"/>
      <c r="P16" s="9"/>
      <c r="Q16" s="107">
        <f t="shared" si="1"/>
        <v>0</v>
      </c>
    </row>
    <row r="17" spans="1:17" x14ac:dyDescent="0.25">
      <c r="A17" s="26">
        <v>10</v>
      </c>
      <c r="B17" s="8"/>
      <c r="C17" s="8"/>
      <c r="D17" s="71"/>
      <c r="E17" s="71"/>
      <c r="F17" s="8"/>
      <c r="G17" s="8"/>
      <c r="H17" s="4" t="e">
        <f t="shared" si="0"/>
        <v>#DIV/0!</v>
      </c>
      <c r="I17" s="83"/>
      <c r="J17" s="83"/>
      <c r="K17" s="93"/>
      <c r="M17" s="27">
        <v>10</v>
      </c>
      <c r="N17" s="8"/>
      <c r="O17" s="8"/>
      <c r="P17" s="9"/>
      <c r="Q17" s="107">
        <f t="shared" si="1"/>
        <v>0</v>
      </c>
    </row>
    <row r="18" spans="1:17" x14ac:dyDescent="0.25">
      <c r="A18" s="26">
        <v>11</v>
      </c>
      <c r="B18" s="8"/>
      <c r="C18" s="8"/>
      <c r="D18" s="71"/>
      <c r="E18" s="71"/>
      <c r="F18" s="8"/>
      <c r="G18" s="8"/>
      <c r="H18" s="4" t="e">
        <f t="shared" si="0"/>
        <v>#DIV/0!</v>
      </c>
      <c r="I18" s="83"/>
      <c r="J18" s="83"/>
      <c r="K18" s="93"/>
      <c r="M18" s="28" t="s">
        <v>185</v>
      </c>
      <c r="N18" s="132">
        <f>F20</f>
        <v>0</v>
      </c>
      <c r="O18" s="13"/>
      <c r="P18" s="13"/>
      <c r="Q18" s="107">
        <f>N18-MAX(N8:N17)</f>
        <v>0</v>
      </c>
    </row>
    <row r="19" spans="1:17" ht="15.75" thickBot="1" x14ac:dyDescent="0.3">
      <c r="A19" s="29" t="s">
        <v>88</v>
      </c>
      <c r="B19" s="12"/>
      <c r="C19" s="30"/>
      <c r="D19" s="30"/>
      <c r="E19" s="31" t="s">
        <v>78</v>
      </c>
      <c r="F19" s="30">
        <f>SUM(D20:D23)</f>
        <v>0</v>
      </c>
      <c r="G19" s="30"/>
      <c r="H19" s="30"/>
      <c r="I19" s="30"/>
      <c r="J19" s="30"/>
      <c r="K19" s="32"/>
    </row>
    <row r="20" spans="1:17" ht="15.75" thickBot="1" x14ac:dyDescent="0.3">
      <c r="A20" s="33" t="s">
        <v>14</v>
      </c>
      <c r="B20" s="30"/>
      <c r="C20" s="30"/>
      <c r="D20" s="13"/>
      <c r="E20" s="34" t="s">
        <v>77</v>
      </c>
      <c r="F20" s="35">
        <f>SUM(F8:F19)</f>
        <v>0</v>
      </c>
      <c r="G20" s="36" t="s">
        <v>75</v>
      </c>
      <c r="H20" s="37">
        <f>COUNTA(C8:C18)-COUNTIF(C8:C18,"Not Out")</f>
        <v>0</v>
      </c>
      <c r="I20" s="38" t="s">
        <v>76</v>
      </c>
      <c r="J20" s="39"/>
      <c r="K20" s="32"/>
      <c r="M20" s="23" t="s">
        <v>35</v>
      </c>
      <c r="N20" s="6"/>
      <c r="O20" s="6"/>
      <c r="P20" s="7"/>
    </row>
    <row r="21" spans="1:17" ht="15.75" thickBot="1" x14ac:dyDescent="0.3">
      <c r="A21" s="33" t="s">
        <v>15</v>
      </c>
      <c r="B21" s="30"/>
      <c r="C21" s="30"/>
      <c r="D21" s="13"/>
      <c r="E21" s="40"/>
      <c r="F21" s="30"/>
      <c r="G21" s="30"/>
      <c r="H21" s="30"/>
      <c r="I21" s="30"/>
      <c r="J21" s="30"/>
      <c r="K21" s="32"/>
      <c r="M21" s="28" t="s">
        <v>36</v>
      </c>
      <c r="N21" s="10"/>
      <c r="O21" s="10"/>
      <c r="P21" s="11"/>
    </row>
    <row r="22" spans="1:17" ht="15.75" thickBot="1" x14ac:dyDescent="0.3">
      <c r="A22" s="33" t="s">
        <v>16</v>
      </c>
      <c r="B22" s="30"/>
      <c r="C22" s="30"/>
      <c r="D22" s="13"/>
      <c r="E22" s="31" t="s">
        <v>208</v>
      </c>
      <c r="F22" s="131"/>
      <c r="G22" s="30"/>
      <c r="H22" s="30"/>
      <c r="I22" s="30"/>
      <c r="J22" s="30"/>
      <c r="K22" s="32"/>
    </row>
    <row r="23" spans="1:17" ht="15.75" thickBot="1" x14ac:dyDescent="0.3">
      <c r="A23" s="41" t="s">
        <v>17</v>
      </c>
      <c r="B23" s="42"/>
      <c r="C23" s="42"/>
      <c r="D23" s="14"/>
      <c r="E23" s="42"/>
      <c r="F23" s="42"/>
      <c r="G23" s="42"/>
      <c r="H23" s="42"/>
      <c r="I23" s="42"/>
      <c r="J23" s="42"/>
      <c r="K23" s="43"/>
      <c r="M23" s="44" t="s">
        <v>50</v>
      </c>
      <c r="N23" s="45"/>
      <c r="O23" s="45"/>
      <c r="P23" s="46" t="str">
        <f>IF(F20-D22-D23-G37=0,"PASS","FAIL")</f>
        <v>PASS</v>
      </c>
    </row>
    <row r="24" spans="1:17" ht="15.75" thickBot="1" x14ac:dyDescent="0.3"/>
    <row r="25" spans="1:17" x14ac:dyDescent="0.25">
      <c r="D25" s="21" t="s">
        <v>82</v>
      </c>
      <c r="E25" s="47" t="s">
        <v>22</v>
      </c>
      <c r="F25" s="48" t="s">
        <v>23</v>
      </c>
      <c r="G25" s="48" t="s">
        <v>24</v>
      </c>
      <c r="H25" s="48" t="s">
        <v>25</v>
      </c>
      <c r="I25" s="48" t="s">
        <v>26</v>
      </c>
      <c r="J25" s="49" t="s">
        <v>27</v>
      </c>
      <c r="K25" s="22" t="s">
        <v>29</v>
      </c>
      <c r="L25" s="50" t="s">
        <v>30</v>
      </c>
      <c r="M25" s="100" t="s">
        <v>80</v>
      </c>
      <c r="N25" s="101" t="s">
        <v>79</v>
      </c>
      <c r="P25" s="106" t="s">
        <v>186</v>
      </c>
    </row>
    <row r="26" spans="1:17" x14ac:dyDescent="0.25">
      <c r="B26" s="51" t="s">
        <v>31</v>
      </c>
      <c r="D26" s="73"/>
      <c r="E26" s="74"/>
      <c r="F26" s="75"/>
      <c r="G26" s="75"/>
      <c r="H26" s="75"/>
      <c r="I26" s="76"/>
      <c r="J26" s="77"/>
      <c r="K26" s="30" t="e">
        <f>G26/H26</f>
        <v>#DIV/0!</v>
      </c>
      <c r="L26" s="32" t="e">
        <f>G26/E26</f>
        <v>#DIV/0!</v>
      </c>
      <c r="M26" s="102"/>
      <c r="N26" s="103"/>
      <c r="P26" s="107" t="e">
        <f>100*(F20+'2nd Innings'!F20)/((IF(H20="10",210,(E37*6))+(IF('2nd Innings'!H20="10",210,('2nd Innings'!E37*6)))))</f>
        <v>#DIV/0!</v>
      </c>
    </row>
    <row r="27" spans="1:17" x14ac:dyDescent="0.25">
      <c r="B27" s="15"/>
      <c r="D27" s="73"/>
      <c r="E27" s="74"/>
      <c r="F27" s="75"/>
      <c r="G27" s="75"/>
      <c r="H27" s="75"/>
      <c r="I27" s="76"/>
      <c r="J27" s="77"/>
      <c r="K27" s="30" t="e">
        <f t="shared" ref="K27:K36" si="2">G27/H27</f>
        <v>#DIV/0!</v>
      </c>
      <c r="L27" s="32" t="e">
        <f t="shared" ref="L27:L36" si="3">G27/E27</f>
        <v>#DIV/0!</v>
      </c>
      <c r="M27" s="102"/>
      <c r="N27" s="103"/>
      <c r="P27" s="107"/>
    </row>
    <row r="28" spans="1:17" x14ac:dyDescent="0.25">
      <c r="B28" s="16"/>
      <c r="D28" s="73"/>
      <c r="E28" s="74"/>
      <c r="F28" s="75"/>
      <c r="G28" s="75"/>
      <c r="H28" s="75"/>
      <c r="I28" s="76"/>
      <c r="J28" s="77"/>
      <c r="K28" s="30" t="e">
        <f t="shared" si="2"/>
        <v>#DIV/0!</v>
      </c>
      <c r="L28" s="32" t="e">
        <f t="shared" si="3"/>
        <v>#DIV/0!</v>
      </c>
      <c r="M28" s="102"/>
      <c r="N28" s="103"/>
      <c r="P28" s="107" t="s">
        <v>187</v>
      </c>
    </row>
    <row r="29" spans="1:17" x14ac:dyDescent="0.25">
      <c r="D29" s="73"/>
      <c r="E29" s="74"/>
      <c r="F29" s="75"/>
      <c r="G29" s="75"/>
      <c r="H29" s="75"/>
      <c r="I29" s="76"/>
      <c r="J29" s="77"/>
      <c r="K29" s="30" t="e">
        <f t="shared" si="2"/>
        <v>#DIV/0!</v>
      </c>
      <c r="L29" s="32" t="e">
        <f t="shared" si="3"/>
        <v>#DIV/0!</v>
      </c>
      <c r="M29" s="102"/>
      <c r="N29" s="103"/>
      <c r="P29" s="107">
        <f>(F20+'2nd Innings'!F20)</f>
        <v>0</v>
      </c>
    </row>
    <row r="30" spans="1:17" x14ac:dyDescent="0.25">
      <c r="B30" s="51" t="s">
        <v>32</v>
      </c>
      <c r="D30" s="73"/>
      <c r="E30" s="74"/>
      <c r="F30" s="75"/>
      <c r="G30" s="75"/>
      <c r="H30" s="75"/>
      <c r="I30" s="76"/>
      <c r="J30" s="77"/>
      <c r="K30" s="30" t="e">
        <f t="shared" si="2"/>
        <v>#DIV/0!</v>
      </c>
      <c r="L30" s="32" t="e">
        <f t="shared" si="3"/>
        <v>#DIV/0!</v>
      </c>
      <c r="M30" s="102"/>
      <c r="N30" s="103"/>
      <c r="P30" s="107"/>
    </row>
    <row r="31" spans="1:17" x14ac:dyDescent="0.25">
      <c r="B31" s="144"/>
      <c r="D31" s="73"/>
      <c r="E31" s="74"/>
      <c r="F31" s="75"/>
      <c r="G31" s="75"/>
      <c r="H31" s="75"/>
      <c r="I31" s="76"/>
      <c r="J31" s="77"/>
      <c r="K31" s="30" t="e">
        <f t="shared" si="2"/>
        <v>#DIV/0!</v>
      </c>
      <c r="L31" s="32" t="e">
        <f t="shared" si="3"/>
        <v>#DIV/0!</v>
      </c>
      <c r="M31" s="102"/>
      <c r="N31" s="103"/>
      <c r="P31" s="107" t="s">
        <v>198</v>
      </c>
    </row>
    <row r="32" spans="1:17" x14ac:dyDescent="0.25">
      <c r="B32" s="145"/>
      <c r="D32" s="73"/>
      <c r="E32" s="74"/>
      <c r="F32" s="75"/>
      <c r="G32" s="75"/>
      <c r="H32" s="75"/>
      <c r="I32" s="76"/>
      <c r="J32" s="77"/>
      <c r="K32" s="30" t="e">
        <f t="shared" si="2"/>
        <v>#DIV/0!</v>
      </c>
      <c r="L32" s="32" t="e">
        <f t="shared" si="3"/>
        <v>#DIV/0!</v>
      </c>
      <c r="M32" s="102"/>
      <c r="N32" s="103"/>
      <c r="P32" s="107" t="e">
        <f>P26*6/100</f>
        <v>#DIV/0!</v>
      </c>
    </row>
    <row r="33" spans="1:14" x14ac:dyDescent="0.25">
      <c r="D33" s="73"/>
      <c r="E33" s="74"/>
      <c r="F33" s="75"/>
      <c r="G33" s="75"/>
      <c r="H33" s="75"/>
      <c r="I33" s="76"/>
      <c r="J33" s="77"/>
      <c r="K33" s="30" t="e">
        <f t="shared" si="2"/>
        <v>#DIV/0!</v>
      </c>
      <c r="L33" s="32" t="e">
        <f t="shared" si="3"/>
        <v>#DIV/0!</v>
      </c>
      <c r="M33" s="102"/>
      <c r="N33" s="103"/>
    </row>
    <row r="34" spans="1:14" x14ac:dyDescent="0.25">
      <c r="B34" s="23" t="s">
        <v>33</v>
      </c>
      <c r="C34" s="70"/>
      <c r="D34" s="73"/>
      <c r="E34" s="74"/>
      <c r="F34" s="75"/>
      <c r="G34" s="75"/>
      <c r="H34" s="75"/>
      <c r="I34" s="76"/>
      <c r="J34" s="77"/>
      <c r="K34" s="30" t="e">
        <f t="shared" si="2"/>
        <v>#DIV/0!</v>
      </c>
      <c r="L34" s="32" t="e">
        <f t="shared" si="3"/>
        <v>#DIV/0!</v>
      </c>
      <c r="M34" s="102"/>
      <c r="N34" s="103"/>
    </row>
    <row r="35" spans="1:14" x14ac:dyDescent="0.25">
      <c r="B35" s="28" t="s">
        <v>81</v>
      </c>
      <c r="C35" s="72"/>
      <c r="D35" s="73"/>
      <c r="E35" s="74"/>
      <c r="F35" s="75"/>
      <c r="G35" s="75"/>
      <c r="H35" s="75"/>
      <c r="I35" s="76"/>
      <c r="J35" s="77"/>
      <c r="K35" s="30" t="e">
        <f t="shared" si="2"/>
        <v>#DIV/0!</v>
      </c>
      <c r="L35" s="32" t="e">
        <f t="shared" si="3"/>
        <v>#DIV/0!</v>
      </c>
      <c r="M35" s="102"/>
      <c r="N35" s="103"/>
    </row>
    <row r="36" spans="1:14" ht="15.75" thickBot="1" x14ac:dyDescent="0.3">
      <c r="D36" s="78"/>
      <c r="E36" s="79"/>
      <c r="F36" s="80"/>
      <c r="G36" s="80"/>
      <c r="H36" s="80"/>
      <c r="I36" s="81"/>
      <c r="J36" s="82"/>
      <c r="K36" s="42" t="e">
        <f t="shared" si="2"/>
        <v>#DIV/0!</v>
      </c>
      <c r="L36" s="43" t="e">
        <f t="shared" si="3"/>
        <v>#DIV/0!</v>
      </c>
      <c r="M36" s="104"/>
      <c r="N36" s="105"/>
    </row>
    <row r="37" spans="1:14" x14ac:dyDescent="0.25">
      <c r="D37" s="19" t="s">
        <v>49</v>
      </c>
      <c r="E37" s="19">
        <f t="shared" ref="E37:J37" si="4">SUM(E26:E36)</f>
        <v>0</v>
      </c>
      <c r="F37" s="86">
        <f t="shared" si="4"/>
        <v>0</v>
      </c>
      <c r="G37" s="86">
        <f t="shared" si="4"/>
        <v>0</v>
      </c>
      <c r="H37" s="86">
        <f t="shared" si="4"/>
        <v>0</v>
      </c>
      <c r="I37" s="52">
        <f t="shared" si="4"/>
        <v>0</v>
      </c>
      <c r="J37" s="53">
        <f t="shared" si="4"/>
        <v>0</v>
      </c>
    </row>
    <row r="38" spans="1:14" ht="17.25" customHeight="1" x14ac:dyDescent="0.25"/>
    <row r="39" spans="1:14" x14ac:dyDescent="0.25">
      <c r="A39" s="87" t="s">
        <v>37</v>
      </c>
      <c r="B39" s="87" t="s">
        <v>1</v>
      </c>
      <c r="C39" s="87" t="s">
        <v>55</v>
      </c>
      <c r="D39" s="87" t="s">
        <v>188</v>
      </c>
    </row>
    <row r="40" spans="1:14" x14ac:dyDescent="0.25">
      <c r="A40" s="88" t="s">
        <v>38</v>
      </c>
      <c r="B40" s="88" t="s">
        <v>54</v>
      </c>
      <c r="C40" s="88" t="s">
        <v>56</v>
      </c>
      <c r="D40" s="87">
        <v>420</v>
      </c>
    </row>
    <row r="41" spans="1:14" x14ac:dyDescent="0.25">
      <c r="A41" s="87" t="s">
        <v>39</v>
      </c>
      <c r="B41" s="87" t="s">
        <v>51</v>
      </c>
      <c r="C41" s="87" t="s">
        <v>57</v>
      </c>
      <c r="D41" s="87">
        <v>240</v>
      </c>
    </row>
    <row r="42" spans="1:14" x14ac:dyDescent="0.25">
      <c r="A42" s="87" t="s">
        <v>40</v>
      </c>
      <c r="B42" s="87"/>
      <c r="C42" s="87" t="s">
        <v>58</v>
      </c>
      <c r="D42" s="87"/>
    </row>
    <row r="43" spans="1:14" x14ac:dyDescent="0.25">
      <c r="A43" s="87" t="s">
        <v>41</v>
      </c>
      <c r="B43" s="87"/>
      <c r="C43" s="87"/>
      <c r="D43" s="87"/>
    </row>
    <row r="44" spans="1:14" x14ac:dyDescent="0.25">
      <c r="A44" s="87" t="s">
        <v>42</v>
      </c>
      <c r="B44" s="87" t="s">
        <v>59</v>
      </c>
      <c r="C44" s="89" t="s">
        <v>8</v>
      </c>
      <c r="D44" s="90" t="s">
        <v>208</v>
      </c>
    </row>
    <row r="45" spans="1:14" x14ac:dyDescent="0.25">
      <c r="A45" s="87" t="s">
        <v>43</v>
      </c>
      <c r="B45" s="88" t="s">
        <v>60</v>
      </c>
      <c r="C45" s="90" t="s">
        <v>21</v>
      </c>
      <c r="D45" s="90" t="s">
        <v>25</v>
      </c>
    </row>
    <row r="46" spans="1:14" x14ac:dyDescent="0.25">
      <c r="A46" s="87" t="s">
        <v>83</v>
      </c>
      <c r="B46" s="87" t="s">
        <v>44</v>
      </c>
      <c r="C46" s="90" t="s">
        <v>52</v>
      </c>
      <c r="D46" s="90" t="s">
        <v>207</v>
      </c>
    </row>
    <row r="47" spans="1:14" x14ac:dyDescent="0.25">
      <c r="A47" s="87" t="s">
        <v>44</v>
      </c>
      <c r="B47" s="87" t="s">
        <v>573</v>
      </c>
      <c r="C47" s="87" t="s">
        <v>486</v>
      </c>
      <c r="D47" s="90" t="s">
        <v>209</v>
      </c>
    </row>
    <row r="48" spans="1:14" x14ac:dyDescent="0.25">
      <c r="A48" s="87" t="s">
        <v>276</v>
      </c>
      <c r="B48" s="87" t="s">
        <v>62</v>
      </c>
      <c r="C48" s="87" t="s">
        <v>67</v>
      </c>
      <c r="D48" s="90" t="s">
        <v>210</v>
      </c>
    </row>
    <row r="49" spans="1:69" x14ac:dyDescent="0.25">
      <c r="A49" s="87" t="s">
        <v>45</v>
      </c>
      <c r="B49" s="87" t="s">
        <v>63</v>
      </c>
      <c r="C49" s="87" t="s">
        <v>68</v>
      </c>
      <c r="D49" s="87"/>
    </row>
    <row r="50" spans="1:69" x14ac:dyDescent="0.25">
      <c r="A50" s="87" t="s">
        <v>85</v>
      </c>
      <c r="B50" s="87" t="s">
        <v>64</v>
      </c>
      <c r="C50" s="87" t="s">
        <v>53</v>
      </c>
      <c r="D50" s="87"/>
    </row>
    <row r="51" spans="1:69" x14ac:dyDescent="0.25">
      <c r="A51" s="87" t="s">
        <v>213</v>
      </c>
      <c r="B51" s="87"/>
      <c r="C51" s="87" t="s">
        <v>69</v>
      </c>
      <c r="D51" s="87"/>
    </row>
    <row r="52" spans="1:69" x14ac:dyDescent="0.25">
      <c r="A52" s="87" t="s">
        <v>87</v>
      </c>
      <c r="B52" s="87"/>
      <c r="C52" s="87" t="s">
        <v>70</v>
      </c>
      <c r="D52" s="87"/>
    </row>
    <row r="53" spans="1:69" x14ac:dyDescent="0.25">
      <c r="A53" s="87" t="s">
        <v>46</v>
      </c>
      <c r="B53" s="87"/>
      <c r="C53" s="87" t="s">
        <v>71</v>
      </c>
      <c r="D53" s="87"/>
    </row>
    <row r="54" spans="1:69" x14ac:dyDescent="0.25">
      <c r="A54" s="87" t="s">
        <v>47</v>
      </c>
      <c r="B54" s="87"/>
      <c r="C54" s="87" t="s">
        <v>72</v>
      </c>
      <c r="D54" s="87"/>
    </row>
    <row r="55" spans="1:69" x14ac:dyDescent="0.25">
      <c r="A55" s="87" t="s">
        <v>48</v>
      </c>
      <c r="B55" s="87"/>
      <c r="C55" s="87"/>
      <c r="D55" s="87"/>
    </row>
    <row r="57" spans="1:69" x14ac:dyDescent="0.25">
      <c r="A57" s="54" t="s">
        <v>38</v>
      </c>
      <c r="B57" s="161" t="s">
        <v>39</v>
      </c>
      <c r="C57" s="161" t="s">
        <v>40</v>
      </c>
      <c r="D57" s="54" t="s">
        <v>41</v>
      </c>
      <c r="E57" s="161" t="s">
        <v>42</v>
      </c>
      <c r="F57" s="161" t="s">
        <v>43</v>
      </c>
      <c r="G57" s="161" t="s">
        <v>83</v>
      </c>
      <c r="H57" s="161" t="s">
        <v>44</v>
      </c>
      <c r="I57" s="161" t="s">
        <v>276</v>
      </c>
      <c r="J57" s="161" t="s">
        <v>45</v>
      </c>
      <c r="K57" s="161" t="s">
        <v>85</v>
      </c>
      <c r="L57" s="161" t="s">
        <v>213</v>
      </c>
      <c r="M57" s="161" t="s">
        <v>87</v>
      </c>
      <c r="N57" s="161" t="s">
        <v>46</v>
      </c>
      <c r="O57" s="161" t="s">
        <v>47</v>
      </c>
      <c r="P57" s="161" t="s">
        <v>48</v>
      </c>
    </row>
    <row r="58" spans="1:69" x14ac:dyDescent="0.25">
      <c r="A58" s="163" t="s">
        <v>464</v>
      </c>
      <c r="B58" s="163" t="s">
        <v>414</v>
      </c>
      <c r="C58" s="163" t="s">
        <v>582</v>
      </c>
      <c r="D58" s="163" t="s">
        <v>436</v>
      </c>
      <c r="E58" s="163" t="s">
        <v>615</v>
      </c>
      <c r="F58" s="163" t="s">
        <v>628</v>
      </c>
      <c r="G58" s="163" t="s">
        <v>602</v>
      </c>
      <c r="H58" s="163" t="s">
        <v>398</v>
      </c>
      <c r="I58" s="163" t="s">
        <v>321</v>
      </c>
      <c r="J58" s="163" t="s">
        <v>259</v>
      </c>
      <c r="K58" s="163" t="s">
        <v>303</v>
      </c>
      <c r="L58" s="163" t="s">
        <v>280</v>
      </c>
      <c r="M58" s="163" t="s">
        <v>575</v>
      </c>
      <c r="N58" s="163" t="s">
        <v>363</v>
      </c>
      <c r="O58" s="163" t="s">
        <v>507</v>
      </c>
      <c r="P58" s="163" t="s">
        <v>235</v>
      </c>
      <c r="Q58" s="185"/>
      <c r="R58" s="57"/>
      <c r="S58" s="3"/>
      <c r="T58" s="3"/>
      <c r="U58" s="56"/>
      <c r="V58" s="56"/>
      <c r="W58" s="56"/>
      <c r="X58" s="56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</row>
    <row r="59" spans="1:69" x14ac:dyDescent="0.25">
      <c r="A59" s="163" t="s">
        <v>477</v>
      </c>
      <c r="B59" s="163" t="s">
        <v>415</v>
      </c>
      <c r="C59" s="163" t="s">
        <v>346</v>
      </c>
      <c r="D59" s="163" t="s">
        <v>597</v>
      </c>
      <c r="E59" s="163" t="s">
        <v>627</v>
      </c>
      <c r="F59" s="163" t="s">
        <v>328</v>
      </c>
      <c r="G59" s="163" t="s">
        <v>229</v>
      </c>
      <c r="H59" s="163" t="s">
        <v>399</v>
      </c>
      <c r="I59" s="163" t="s">
        <v>546</v>
      </c>
      <c r="J59" s="163" t="s">
        <v>270</v>
      </c>
      <c r="K59" s="163" t="s">
        <v>305</v>
      </c>
      <c r="L59" s="163" t="s">
        <v>283</v>
      </c>
      <c r="M59" s="163" t="s">
        <v>622</v>
      </c>
      <c r="N59" s="163" t="s">
        <v>364</v>
      </c>
      <c r="O59" s="163" t="s">
        <v>539</v>
      </c>
      <c r="P59" s="163" t="s">
        <v>238</v>
      </c>
      <c r="Q59" s="185"/>
      <c r="R59" s="57"/>
      <c r="S59" s="3"/>
      <c r="T59" s="3"/>
      <c r="U59" s="56"/>
      <c r="V59" s="3"/>
      <c r="W59" s="56"/>
      <c r="X59" s="56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</row>
    <row r="60" spans="1:69" x14ac:dyDescent="0.25">
      <c r="A60" s="163" t="s">
        <v>476</v>
      </c>
      <c r="B60" s="163" t="s">
        <v>612</v>
      </c>
      <c r="C60" s="163" t="s">
        <v>583</v>
      </c>
      <c r="D60" s="163" t="s">
        <v>443</v>
      </c>
      <c r="E60" s="163" t="s">
        <v>630</v>
      </c>
      <c r="F60" s="163" t="s">
        <v>631</v>
      </c>
      <c r="G60" s="163" t="s">
        <v>218</v>
      </c>
      <c r="H60" s="163" t="s">
        <v>400</v>
      </c>
      <c r="I60" s="163" t="s">
        <v>547</v>
      </c>
      <c r="J60" s="163" t="s">
        <v>338</v>
      </c>
      <c r="K60" s="163" t="s">
        <v>297</v>
      </c>
      <c r="L60" s="163" t="s">
        <v>286</v>
      </c>
      <c r="M60" s="163" t="s">
        <v>629</v>
      </c>
      <c r="N60" s="163" t="s">
        <v>365</v>
      </c>
      <c r="O60" s="163" t="s">
        <v>508</v>
      </c>
      <c r="P60" s="163" t="s">
        <v>249</v>
      </c>
      <c r="Q60" s="185"/>
      <c r="R60" s="57"/>
      <c r="S60" s="3"/>
      <c r="T60" s="3"/>
      <c r="U60" s="56"/>
      <c r="V60" s="56"/>
      <c r="W60" s="56"/>
      <c r="X60" s="56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</row>
    <row r="61" spans="1:69" x14ac:dyDescent="0.25">
      <c r="A61" s="163" t="s">
        <v>475</v>
      </c>
      <c r="B61" s="163" t="s">
        <v>416</v>
      </c>
      <c r="C61" s="163" t="s">
        <v>584</v>
      </c>
      <c r="D61" s="163" t="s">
        <v>447</v>
      </c>
      <c r="E61" s="163" t="s">
        <v>632</v>
      </c>
      <c r="F61" s="163" t="s">
        <v>633</v>
      </c>
      <c r="G61" s="163" t="s">
        <v>217</v>
      </c>
      <c r="H61" s="163" t="s">
        <v>401</v>
      </c>
      <c r="I61" s="163" t="s">
        <v>548</v>
      </c>
      <c r="J61" s="163" t="s">
        <v>260</v>
      </c>
      <c r="K61" s="163" t="s">
        <v>296</v>
      </c>
      <c r="L61" s="163" t="s">
        <v>536</v>
      </c>
      <c r="M61" s="163" t="s">
        <v>541</v>
      </c>
      <c r="N61" s="163" t="s">
        <v>366</v>
      </c>
      <c r="O61" s="163" t="s">
        <v>509</v>
      </c>
      <c r="P61" s="163" t="s">
        <v>252</v>
      </c>
      <c r="Q61" s="185"/>
      <c r="R61" s="57"/>
      <c r="S61" s="3"/>
      <c r="T61" s="3"/>
      <c r="U61" s="56"/>
      <c r="V61" s="56"/>
      <c r="W61" s="56"/>
      <c r="X61" s="56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</row>
    <row r="62" spans="1:69" x14ac:dyDescent="0.25">
      <c r="A62" s="163" t="s">
        <v>472</v>
      </c>
      <c r="B62" s="163" t="s">
        <v>417</v>
      </c>
      <c r="C62" s="163" t="s">
        <v>347</v>
      </c>
      <c r="D62" s="163" t="s">
        <v>437</v>
      </c>
      <c r="E62" s="163" t="s">
        <v>634</v>
      </c>
      <c r="F62" s="163" t="s">
        <v>635</v>
      </c>
      <c r="G62" s="163" t="s">
        <v>227</v>
      </c>
      <c r="H62" s="163" t="s">
        <v>402</v>
      </c>
      <c r="I62" s="163" t="s">
        <v>549</v>
      </c>
      <c r="J62" s="163" t="s">
        <v>261</v>
      </c>
      <c r="K62" s="163" t="s">
        <v>301</v>
      </c>
      <c r="L62" s="163" t="s">
        <v>334</v>
      </c>
      <c r="M62" s="163" t="s">
        <v>524</v>
      </c>
      <c r="N62" s="163" t="s">
        <v>367</v>
      </c>
      <c r="O62" s="163" t="s">
        <v>253</v>
      </c>
      <c r="P62" s="163" t="s">
        <v>233</v>
      </c>
      <c r="Q62" s="185"/>
      <c r="R62" s="57"/>
      <c r="S62" s="3"/>
      <c r="T62" s="3"/>
      <c r="U62" s="56"/>
      <c r="V62" s="3"/>
      <c r="W62" s="56"/>
      <c r="X62" s="56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</row>
    <row r="63" spans="1:69" x14ac:dyDescent="0.25">
      <c r="A63" s="163" t="s">
        <v>467</v>
      </c>
      <c r="B63" s="163" t="s">
        <v>418</v>
      </c>
      <c r="C63" s="163" t="s">
        <v>585</v>
      </c>
      <c r="D63" s="163" t="s">
        <v>456</v>
      </c>
      <c r="E63" s="163" t="s">
        <v>637</v>
      </c>
      <c r="F63" s="163" t="s">
        <v>327</v>
      </c>
      <c r="G63" s="163" t="s">
        <v>219</v>
      </c>
      <c r="H63" s="163" t="s">
        <v>403</v>
      </c>
      <c r="I63" s="163" t="s">
        <v>605</v>
      </c>
      <c r="J63" s="163" t="s">
        <v>262</v>
      </c>
      <c r="K63" s="163" t="s">
        <v>298</v>
      </c>
      <c r="L63" s="163" t="s">
        <v>620</v>
      </c>
      <c r="M63" s="163" t="s">
        <v>636</v>
      </c>
      <c r="N63" s="163" t="s">
        <v>368</v>
      </c>
      <c r="O63" s="163" t="s">
        <v>349</v>
      </c>
      <c r="P63" s="163" t="s">
        <v>532</v>
      </c>
      <c r="Q63" s="185"/>
      <c r="R63" s="57"/>
      <c r="S63" s="3"/>
      <c r="T63" s="3"/>
      <c r="U63" s="56"/>
      <c r="V63" s="3"/>
      <c r="W63" s="56"/>
      <c r="X63" s="56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</row>
    <row r="64" spans="1:69" x14ac:dyDescent="0.25">
      <c r="A64" s="163" t="s">
        <v>517</v>
      </c>
      <c r="B64" s="163" t="s">
        <v>419</v>
      </c>
      <c r="C64" s="163" t="s">
        <v>586</v>
      </c>
      <c r="D64" s="163" t="s">
        <v>598</v>
      </c>
      <c r="E64" s="163" t="s">
        <v>638</v>
      </c>
      <c r="F64" s="163" t="s">
        <v>639</v>
      </c>
      <c r="G64" s="163" t="s">
        <v>216</v>
      </c>
      <c r="H64" s="163" t="s">
        <v>404</v>
      </c>
      <c r="I64" s="163" t="s">
        <v>550</v>
      </c>
      <c r="J64" s="163" t="s">
        <v>263</v>
      </c>
      <c r="K64" s="163" t="s">
        <v>577</v>
      </c>
      <c r="L64" s="163" t="s">
        <v>285</v>
      </c>
      <c r="M64" s="163" t="s">
        <v>495</v>
      </c>
      <c r="N64" s="163" t="s">
        <v>369</v>
      </c>
      <c r="O64" s="163" t="s">
        <v>608</v>
      </c>
      <c r="P64" s="163" t="s">
        <v>234</v>
      </c>
      <c r="Q64" s="185"/>
      <c r="R64" s="57"/>
      <c r="S64" s="3"/>
      <c r="T64" s="3"/>
      <c r="U64" s="56"/>
      <c r="V64" s="3"/>
      <c r="W64" s="56"/>
      <c r="X64" s="56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</row>
    <row r="65" spans="1:62" x14ac:dyDescent="0.25">
      <c r="A65" s="163" t="s">
        <v>522</v>
      </c>
      <c r="B65" s="163" t="s">
        <v>420</v>
      </c>
      <c r="C65" s="163" t="s">
        <v>348</v>
      </c>
      <c r="D65" s="163" t="s">
        <v>438</v>
      </c>
      <c r="E65" s="163" t="s">
        <v>641</v>
      </c>
      <c r="F65" s="163" t="s">
        <v>642</v>
      </c>
      <c r="G65" s="163" t="s">
        <v>220</v>
      </c>
      <c r="H65" s="163" t="s">
        <v>405</v>
      </c>
      <c r="I65" s="163" t="s">
        <v>551</v>
      </c>
      <c r="J65" s="163" t="s">
        <v>258</v>
      </c>
      <c r="K65" s="163" t="s">
        <v>291</v>
      </c>
      <c r="L65" s="163" t="s">
        <v>621</v>
      </c>
      <c r="M65" s="163" t="s">
        <v>640</v>
      </c>
      <c r="N65" s="163" t="s">
        <v>370</v>
      </c>
      <c r="O65" s="163" t="s">
        <v>256</v>
      </c>
      <c r="P65" s="163" t="s">
        <v>245</v>
      </c>
      <c r="Q65" s="185"/>
      <c r="R65" s="57"/>
      <c r="S65" s="3"/>
      <c r="T65" s="3"/>
      <c r="U65" s="56"/>
      <c r="V65" s="3"/>
      <c r="W65" s="56"/>
      <c r="X65" s="56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</row>
    <row r="66" spans="1:62" x14ac:dyDescent="0.25">
      <c r="A66" s="163" t="s">
        <v>470</v>
      </c>
      <c r="B66" s="163" t="s">
        <v>421</v>
      </c>
      <c r="C66" s="163" t="s">
        <v>349</v>
      </c>
      <c r="D66" s="163" t="s">
        <v>457</v>
      </c>
      <c r="E66" s="163" t="s">
        <v>644</v>
      </c>
      <c r="F66" s="163" t="s">
        <v>645</v>
      </c>
      <c r="G66" s="163" t="s">
        <v>603</v>
      </c>
      <c r="H66" s="163" t="s">
        <v>406</v>
      </c>
      <c r="I66" s="163" t="s">
        <v>552</v>
      </c>
      <c r="J66" s="163" t="s">
        <v>275</v>
      </c>
      <c r="K66" s="163" t="s">
        <v>537</v>
      </c>
      <c r="L66" s="163" t="s">
        <v>330</v>
      </c>
      <c r="M66" s="163" t="s">
        <v>643</v>
      </c>
      <c r="N66" s="163" t="s">
        <v>371</v>
      </c>
      <c r="O66" s="163" t="s">
        <v>527</v>
      </c>
      <c r="P66" s="163" t="s">
        <v>319</v>
      </c>
      <c r="Q66" s="185"/>
      <c r="R66" s="57"/>
      <c r="S66" s="3"/>
      <c r="T66" s="3"/>
      <c r="U66" s="56"/>
      <c r="V66" s="3"/>
      <c r="W66" s="56"/>
      <c r="X66" s="56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</row>
    <row r="67" spans="1:62" x14ac:dyDescent="0.25">
      <c r="A67" s="163" t="s">
        <v>468</v>
      </c>
      <c r="B67" s="163" t="s">
        <v>375</v>
      </c>
      <c r="C67" s="183" t="s">
        <v>587</v>
      </c>
      <c r="D67" s="163" t="s">
        <v>435</v>
      </c>
      <c r="E67" s="163" t="s">
        <v>647</v>
      </c>
      <c r="F67" s="163" t="s">
        <v>648</v>
      </c>
      <c r="G67" s="163" t="s">
        <v>222</v>
      </c>
      <c r="H67" s="163" t="s">
        <v>344</v>
      </c>
      <c r="I67" s="163" t="s">
        <v>318</v>
      </c>
      <c r="J67" s="163" t="s">
        <v>264</v>
      </c>
      <c r="K67" s="163" t="s">
        <v>538</v>
      </c>
      <c r="L67" s="163" t="s">
        <v>279</v>
      </c>
      <c r="M67" s="163" t="s">
        <v>646</v>
      </c>
      <c r="N67" s="163" t="s">
        <v>372</v>
      </c>
      <c r="O67" s="163" t="s">
        <v>576</v>
      </c>
      <c r="P67" s="163" t="s">
        <v>240</v>
      </c>
      <c r="Q67" s="185"/>
      <c r="R67" s="57"/>
      <c r="S67" s="3"/>
      <c r="T67" s="3"/>
      <c r="U67" s="56"/>
      <c r="V67" s="3"/>
      <c r="W67" s="56"/>
      <c r="X67" s="56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</row>
    <row r="68" spans="1:62" x14ac:dyDescent="0.25">
      <c r="A68" s="163" t="s">
        <v>480</v>
      </c>
      <c r="B68" s="163" t="s">
        <v>422</v>
      </c>
      <c r="C68" s="163" t="s">
        <v>350</v>
      </c>
      <c r="D68" s="163" t="s">
        <v>460</v>
      </c>
      <c r="E68" s="163" t="s">
        <v>650</v>
      </c>
      <c r="F68" s="163" t="s">
        <v>651</v>
      </c>
      <c r="G68" s="163" t="s">
        <v>230</v>
      </c>
      <c r="H68" s="163" t="s">
        <v>407</v>
      </c>
      <c r="I68" s="163" t="s">
        <v>553</v>
      </c>
      <c r="J68" s="163" t="s">
        <v>487</v>
      </c>
      <c r="K68" s="163" t="s">
        <v>315</v>
      </c>
      <c r="L68" s="163" t="s">
        <v>335</v>
      </c>
      <c r="M68" s="163" t="s">
        <v>649</v>
      </c>
      <c r="N68" s="163" t="s">
        <v>373</v>
      </c>
      <c r="O68" s="163" t="s">
        <v>510</v>
      </c>
      <c r="P68" s="163" t="s">
        <v>624</v>
      </c>
      <c r="Q68" s="185"/>
      <c r="R68" s="57"/>
      <c r="S68" s="3"/>
      <c r="T68" s="3"/>
      <c r="U68" s="56"/>
      <c r="V68" s="3"/>
      <c r="W68" s="56"/>
      <c r="X68" s="56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</row>
    <row r="69" spans="1:62" x14ac:dyDescent="0.25">
      <c r="A69" s="163" t="s">
        <v>482</v>
      </c>
      <c r="B69" s="163" t="s">
        <v>574</v>
      </c>
      <c r="C69" s="163" t="s">
        <v>351</v>
      </c>
      <c r="D69" s="163" t="s">
        <v>450</v>
      </c>
      <c r="E69" s="163" t="s">
        <v>653</v>
      </c>
      <c r="F69" s="163" t="s">
        <v>654</v>
      </c>
      <c r="G69" s="163" t="s">
        <v>221</v>
      </c>
      <c r="H69" s="163" t="s">
        <v>408</v>
      </c>
      <c r="I69" s="163" t="s">
        <v>554</v>
      </c>
      <c r="J69" s="163" t="s">
        <v>267</v>
      </c>
      <c r="K69" s="163" t="s">
        <v>306</v>
      </c>
      <c r="L69" s="163" t="s">
        <v>336</v>
      </c>
      <c r="M69" s="163" t="s">
        <v>652</v>
      </c>
      <c r="N69" s="163" t="s">
        <v>374</v>
      </c>
      <c r="O69" s="163" t="s">
        <v>511</v>
      </c>
      <c r="P69" s="163" t="s">
        <v>250</v>
      </c>
      <c r="Q69" s="185"/>
      <c r="R69" s="57"/>
      <c r="S69" s="3"/>
      <c r="T69" s="3"/>
      <c r="U69" s="56"/>
      <c r="V69" s="3"/>
      <c r="W69" s="56"/>
      <c r="X69" s="56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</row>
    <row r="70" spans="1:62" x14ac:dyDescent="0.25">
      <c r="A70" s="163" t="s">
        <v>474</v>
      </c>
      <c r="B70" s="163" t="s">
        <v>526</v>
      </c>
      <c r="C70" s="183" t="s">
        <v>588</v>
      </c>
      <c r="D70" s="163" t="s">
        <v>451</v>
      </c>
      <c r="E70" s="163" t="s">
        <v>656</v>
      </c>
      <c r="F70" s="163" t="s">
        <v>657</v>
      </c>
      <c r="G70" s="163" t="s">
        <v>231</v>
      </c>
      <c r="H70" s="163" t="s">
        <v>497</v>
      </c>
      <c r="I70" s="163" t="s">
        <v>555</v>
      </c>
      <c r="J70" s="163" t="s">
        <v>266</v>
      </c>
      <c r="K70" s="163" t="s">
        <v>313</v>
      </c>
      <c r="L70" s="163" t="s">
        <v>331</v>
      </c>
      <c r="M70" s="163" t="s">
        <v>655</v>
      </c>
      <c r="N70" s="163" t="s">
        <v>376</v>
      </c>
      <c r="O70" s="163" t="s">
        <v>506</v>
      </c>
      <c r="P70" s="163" t="s">
        <v>251</v>
      </c>
      <c r="Q70" s="185"/>
      <c r="R70" s="57"/>
      <c r="S70" s="3"/>
      <c r="T70" s="3"/>
      <c r="U70" s="56"/>
      <c r="V70" s="3"/>
      <c r="W70" s="56"/>
      <c r="X70" s="56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</row>
    <row r="71" spans="1:62" x14ac:dyDescent="0.25">
      <c r="A71" s="163" t="s">
        <v>469</v>
      </c>
      <c r="B71" s="163" t="s">
        <v>423</v>
      </c>
      <c r="C71" s="163" t="s">
        <v>352</v>
      </c>
      <c r="D71" s="163" t="s">
        <v>448</v>
      </c>
      <c r="E71" s="163" t="s">
        <v>494</v>
      </c>
      <c r="F71" s="163" t="s">
        <v>659</v>
      </c>
      <c r="G71" s="163" t="s">
        <v>223</v>
      </c>
      <c r="H71" s="163" t="s">
        <v>498</v>
      </c>
      <c r="I71" s="163" t="s">
        <v>606</v>
      </c>
      <c r="J71" s="163" t="s">
        <v>269</v>
      </c>
      <c r="K71" s="163" t="s">
        <v>308</v>
      </c>
      <c r="L71" s="163" t="s">
        <v>287</v>
      </c>
      <c r="M71" s="163" t="s">
        <v>658</v>
      </c>
      <c r="N71" s="163" t="s">
        <v>377</v>
      </c>
      <c r="O71" s="163" t="s">
        <v>505</v>
      </c>
      <c r="P71" s="163" t="s">
        <v>239</v>
      </c>
      <c r="Q71" s="185"/>
      <c r="R71" s="57"/>
      <c r="S71" s="3"/>
      <c r="T71" s="3"/>
      <c r="U71" s="56"/>
      <c r="V71" s="3"/>
      <c r="W71" s="56"/>
      <c r="X71" s="56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</row>
    <row r="72" spans="1:62" x14ac:dyDescent="0.25">
      <c r="A72" s="163" t="s">
        <v>579</v>
      </c>
      <c r="B72" s="163" t="s">
        <v>424</v>
      </c>
      <c r="C72" s="183" t="s">
        <v>589</v>
      </c>
      <c r="D72" s="163" t="s">
        <v>444</v>
      </c>
      <c r="E72" s="163" t="s">
        <v>616</v>
      </c>
      <c r="F72" s="163" t="s">
        <v>662</v>
      </c>
      <c r="G72" s="163" t="s">
        <v>224</v>
      </c>
      <c r="H72" s="163" t="s">
        <v>409</v>
      </c>
      <c r="I72" s="163" t="s">
        <v>557</v>
      </c>
      <c r="J72" s="163" t="s">
        <v>268</v>
      </c>
      <c r="K72" s="163" t="s">
        <v>617</v>
      </c>
      <c r="L72" s="163" t="s">
        <v>282</v>
      </c>
      <c r="M72" s="163" t="s">
        <v>660</v>
      </c>
      <c r="N72" s="163" t="s">
        <v>378</v>
      </c>
      <c r="O72" s="163" t="s">
        <v>572</v>
      </c>
      <c r="P72" s="163" t="s">
        <v>244</v>
      </c>
      <c r="Q72" s="185"/>
      <c r="R72" s="57"/>
      <c r="S72" s="3"/>
      <c r="T72" s="3"/>
      <c r="U72" s="56"/>
      <c r="V72" s="3"/>
      <c r="W72" s="56"/>
      <c r="X72" s="56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</row>
    <row r="73" spans="1:62" x14ac:dyDescent="0.25">
      <c r="A73" s="163" t="s">
        <v>580</v>
      </c>
      <c r="B73" s="163" t="s">
        <v>425</v>
      </c>
      <c r="C73" s="163" t="s">
        <v>520</v>
      </c>
      <c r="D73" s="163" t="s">
        <v>461</v>
      </c>
      <c r="E73" s="163" t="s">
        <v>661</v>
      </c>
      <c r="F73" s="163" t="s">
        <v>485</v>
      </c>
      <c r="G73" s="163" t="s">
        <v>225</v>
      </c>
      <c r="H73" s="163" t="s">
        <v>410</v>
      </c>
      <c r="I73" s="163" t="s">
        <v>558</v>
      </c>
      <c r="J73" s="163" t="s">
        <v>257</v>
      </c>
      <c r="K73" s="163" t="s">
        <v>578</v>
      </c>
      <c r="L73" s="163" t="s">
        <v>277</v>
      </c>
      <c r="M73" s="163" t="s">
        <v>339</v>
      </c>
      <c r="N73" s="163" t="s">
        <v>379</v>
      </c>
      <c r="O73" s="163" t="s">
        <v>540</v>
      </c>
      <c r="P73" s="163" t="s">
        <v>243</v>
      </c>
      <c r="Q73" s="185"/>
      <c r="R73" s="57"/>
      <c r="S73" s="3"/>
      <c r="T73" s="3"/>
      <c r="U73" s="56"/>
      <c r="V73" s="3"/>
      <c r="W73" s="56"/>
      <c r="X73" s="56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</row>
    <row r="74" spans="1:62" x14ac:dyDescent="0.25">
      <c r="A74" s="163" t="s">
        <v>484</v>
      </c>
      <c r="B74" s="163" t="s">
        <v>426</v>
      </c>
      <c r="C74" s="163" t="s">
        <v>353</v>
      </c>
      <c r="D74" s="163" t="s">
        <v>459</v>
      </c>
      <c r="E74" s="163" t="s">
        <v>663</v>
      </c>
      <c r="F74" s="163" t="s">
        <v>665</v>
      </c>
      <c r="G74" s="163" t="s">
        <v>329</v>
      </c>
      <c r="H74" s="163" t="s">
        <v>521</v>
      </c>
      <c r="I74" s="163" t="s">
        <v>559</v>
      </c>
      <c r="J74" s="163" t="s">
        <v>265</v>
      </c>
      <c r="K74" s="163" t="s">
        <v>316</v>
      </c>
      <c r="L74" s="163" t="s">
        <v>332</v>
      </c>
      <c r="M74" s="163" t="s">
        <v>664</v>
      </c>
      <c r="N74" s="163" t="s">
        <v>380</v>
      </c>
      <c r="O74" s="163" t="s">
        <v>254</v>
      </c>
      <c r="P74" s="163" t="s">
        <v>543</v>
      </c>
      <c r="Q74" s="185"/>
      <c r="R74" s="57"/>
      <c r="S74" s="3"/>
      <c r="T74" s="3"/>
      <c r="U74" s="56"/>
      <c r="V74" s="56"/>
      <c r="W74" s="56"/>
      <c r="X74" s="56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</row>
    <row r="75" spans="1:62" x14ac:dyDescent="0.25">
      <c r="A75" s="163" t="s">
        <v>481</v>
      </c>
      <c r="B75" s="163" t="s">
        <v>427</v>
      </c>
      <c r="C75" s="163" t="s">
        <v>354</v>
      </c>
      <c r="D75" s="163" t="s">
        <v>442</v>
      </c>
      <c r="E75" s="163" t="s">
        <v>324</v>
      </c>
      <c r="F75" s="163" t="s">
        <v>668</v>
      </c>
      <c r="G75" s="163" t="s">
        <v>226</v>
      </c>
      <c r="H75" s="163" t="s">
        <v>411</v>
      </c>
      <c r="I75" s="163" t="s">
        <v>560</v>
      </c>
      <c r="J75" s="163" t="s">
        <v>273</v>
      </c>
      <c r="K75" s="163" t="s">
        <v>294</v>
      </c>
      <c r="L75" s="163" t="s">
        <v>333</v>
      </c>
      <c r="M75" s="163" t="s">
        <v>666</v>
      </c>
      <c r="N75" s="163" t="s">
        <v>381</v>
      </c>
      <c r="O75" s="163" t="s">
        <v>609</v>
      </c>
      <c r="P75" s="163" t="s">
        <v>241</v>
      </c>
      <c r="Q75" s="185"/>
      <c r="R75" s="57"/>
      <c r="S75" s="3"/>
      <c r="T75" s="3"/>
      <c r="U75" s="56"/>
      <c r="V75" s="3"/>
      <c r="W75" s="56"/>
      <c r="X75" s="56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</row>
    <row r="76" spans="1:62" x14ac:dyDescent="0.25">
      <c r="A76" s="163" t="s">
        <v>466</v>
      </c>
      <c r="B76" s="163" t="s">
        <v>613</v>
      </c>
      <c r="C76" s="163" t="s">
        <v>503</v>
      </c>
      <c r="D76" s="163" t="s">
        <v>458</v>
      </c>
      <c r="E76" s="163" t="s">
        <v>667</v>
      </c>
      <c r="F76" s="163" t="s">
        <v>531</v>
      </c>
      <c r="G76" s="163" t="s">
        <v>228</v>
      </c>
      <c r="H76" s="163" t="s">
        <v>412</v>
      </c>
      <c r="I76" s="163" t="s">
        <v>556</v>
      </c>
      <c r="J76" s="163" t="s">
        <v>232</v>
      </c>
      <c r="K76" s="163" t="s">
        <v>299</v>
      </c>
      <c r="L76" s="163" t="s">
        <v>281</v>
      </c>
      <c r="M76" s="163" t="s">
        <v>669</v>
      </c>
      <c r="N76" s="163" t="s">
        <v>382</v>
      </c>
      <c r="O76" s="163" t="s">
        <v>610</v>
      </c>
      <c r="P76" s="163" t="s">
        <v>242</v>
      </c>
      <c r="Q76" s="185"/>
      <c r="R76" s="57"/>
      <c r="S76" s="3"/>
      <c r="T76" s="3"/>
      <c r="U76" s="56"/>
      <c r="V76" s="3"/>
      <c r="W76" s="56"/>
      <c r="X76" s="56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</row>
    <row r="77" spans="1:62" x14ac:dyDescent="0.25">
      <c r="A77" s="163" t="s">
        <v>529</v>
      </c>
      <c r="B77" s="163" t="s">
        <v>429</v>
      </c>
      <c r="C77" s="163" t="s">
        <v>355</v>
      </c>
      <c r="D77" s="163" t="s">
        <v>440</v>
      </c>
      <c r="E77" s="163" t="s">
        <v>502</v>
      </c>
      <c r="F77" s="163" t="s">
        <v>674</v>
      </c>
      <c r="G77" s="163" t="s">
        <v>500</v>
      </c>
      <c r="H77" s="163" t="s">
        <v>413</v>
      </c>
      <c r="I77" s="163" t="s">
        <v>561</v>
      </c>
      <c r="J77" s="163" t="s">
        <v>272</v>
      </c>
      <c r="K77" s="163" t="s">
        <v>302</v>
      </c>
      <c r="L77" s="163" t="s">
        <v>284</v>
      </c>
      <c r="M77" s="163" t="s">
        <v>670</v>
      </c>
      <c r="N77" s="163" t="s">
        <v>383</v>
      </c>
      <c r="O77" s="163" t="s">
        <v>512</v>
      </c>
      <c r="P77" s="163" t="s">
        <v>428</v>
      </c>
      <c r="Q77" s="185"/>
      <c r="R77" s="57"/>
      <c r="S77" s="3"/>
      <c r="T77" s="3"/>
      <c r="U77" s="56"/>
      <c r="V77" s="56"/>
      <c r="W77" s="56"/>
      <c r="X77" s="56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</row>
    <row r="78" spans="1:62" x14ac:dyDescent="0.25">
      <c r="A78" s="163" t="s">
        <v>471</v>
      </c>
      <c r="B78" s="163" t="s">
        <v>430</v>
      </c>
      <c r="C78" s="183" t="s">
        <v>590</v>
      </c>
      <c r="D78" s="163" t="s">
        <v>446</v>
      </c>
      <c r="E78" s="163" t="s">
        <v>671</v>
      </c>
      <c r="F78" s="163" t="s">
        <v>677</v>
      </c>
      <c r="G78" s="163" t="s">
        <v>604</v>
      </c>
      <c r="H78" s="163"/>
      <c r="I78" s="163" t="s">
        <v>562</v>
      </c>
      <c r="J78" s="163" t="s">
        <v>271</v>
      </c>
      <c r="K78" s="163" t="s">
        <v>312</v>
      </c>
      <c r="L78" s="163" t="s">
        <v>246</v>
      </c>
      <c r="M78" s="163" t="s">
        <v>672</v>
      </c>
      <c r="N78" s="163" t="s">
        <v>384</v>
      </c>
      <c r="O78" s="163" t="s">
        <v>325</v>
      </c>
      <c r="P78" s="163" t="s">
        <v>542</v>
      </c>
      <c r="Q78" s="185"/>
      <c r="R78" s="57"/>
      <c r="S78" s="3"/>
      <c r="T78" s="3"/>
      <c r="U78" s="56"/>
      <c r="V78" s="3"/>
      <c r="W78" s="56"/>
      <c r="X78" s="56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</row>
    <row r="79" spans="1:62" x14ac:dyDescent="0.25">
      <c r="A79" s="163" t="s">
        <v>528</v>
      </c>
      <c r="B79" s="163" t="s">
        <v>431</v>
      </c>
      <c r="C79" s="183" t="s">
        <v>591</v>
      </c>
      <c r="D79" s="163" t="s">
        <v>441</v>
      </c>
      <c r="E79" s="163" t="s">
        <v>673</v>
      </c>
      <c r="F79" s="163" t="s">
        <v>599</v>
      </c>
      <c r="G79" s="163"/>
      <c r="H79" s="163"/>
      <c r="I79" s="163" t="s">
        <v>563</v>
      </c>
      <c r="J79" s="163" t="s">
        <v>274</v>
      </c>
      <c r="K79" s="163" t="s">
        <v>322</v>
      </c>
      <c r="L79" s="163" t="s">
        <v>337</v>
      </c>
      <c r="M79" s="163" t="s">
        <v>675</v>
      </c>
      <c r="N79" s="163" t="s">
        <v>385</v>
      </c>
      <c r="O79" s="163" t="s">
        <v>513</v>
      </c>
      <c r="P79" s="163" t="s">
        <v>246</v>
      </c>
      <c r="Q79" s="185"/>
      <c r="R79" s="57"/>
      <c r="S79" s="3"/>
      <c r="T79" s="3"/>
      <c r="U79" s="56"/>
      <c r="V79" s="3"/>
      <c r="W79" s="56"/>
      <c r="X79" s="56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</row>
    <row r="80" spans="1:62" x14ac:dyDescent="0.25">
      <c r="A80" s="163" t="s">
        <v>581</v>
      </c>
      <c r="B80" s="163" t="s">
        <v>525</v>
      </c>
      <c r="C80" s="183" t="s">
        <v>592</v>
      </c>
      <c r="D80" s="163" t="s">
        <v>455</v>
      </c>
      <c r="E80" s="163" t="s">
        <v>676</v>
      </c>
      <c r="F80" s="183" t="s">
        <v>601</v>
      </c>
      <c r="G80" s="163"/>
      <c r="H80" s="163"/>
      <c r="I80" s="163" t="s">
        <v>564</v>
      </c>
      <c r="J80" s="163"/>
      <c r="K80" s="163" t="s">
        <v>295</v>
      </c>
      <c r="L80" s="163" t="s">
        <v>278</v>
      </c>
      <c r="M80" s="163"/>
      <c r="N80" s="163" t="s">
        <v>386</v>
      </c>
      <c r="O80" s="163" t="s">
        <v>611</v>
      </c>
      <c r="P80" s="163" t="s">
        <v>625</v>
      </c>
      <c r="Q80" s="185"/>
      <c r="R80" s="57"/>
      <c r="S80" s="3"/>
      <c r="T80" s="3"/>
      <c r="U80" s="56"/>
      <c r="V80" s="3"/>
      <c r="W80" s="56"/>
      <c r="X80" s="56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</row>
    <row r="81" spans="1:66" x14ac:dyDescent="0.25">
      <c r="A81" s="163" t="s">
        <v>478</v>
      </c>
      <c r="B81" s="163" t="s">
        <v>614</v>
      </c>
      <c r="C81" s="183" t="s">
        <v>593</v>
      </c>
      <c r="D81" s="163" t="s">
        <v>452</v>
      </c>
      <c r="E81" s="163" t="s">
        <v>678</v>
      </c>
      <c r="F81" s="183" t="s">
        <v>544</v>
      </c>
      <c r="G81" s="17"/>
      <c r="H81" s="163"/>
      <c r="I81" s="163" t="s">
        <v>565</v>
      </c>
      <c r="J81" s="163"/>
      <c r="K81" s="163" t="s">
        <v>618</v>
      </c>
      <c r="L81" s="163" t="s">
        <v>288</v>
      </c>
      <c r="M81" s="163"/>
      <c r="N81" s="163" t="s">
        <v>387</v>
      </c>
      <c r="O81" s="163" t="s">
        <v>514</v>
      </c>
      <c r="P81" s="163" t="s">
        <v>236</v>
      </c>
      <c r="Q81" s="185"/>
      <c r="R81" s="57"/>
      <c r="S81" s="3"/>
      <c r="T81" s="3"/>
      <c r="U81" s="56"/>
      <c r="V81" s="3"/>
      <c r="W81" s="56"/>
      <c r="X81" s="56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</row>
    <row r="82" spans="1:66" x14ac:dyDescent="0.25">
      <c r="A82" s="163" t="s">
        <v>501</v>
      </c>
      <c r="B82" s="163" t="s">
        <v>488</v>
      </c>
      <c r="C82" s="163" t="s">
        <v>356</v>
      </c>
      <c r="D82" s="163" t="s">
        <v>454</v>
      </c>
      <c r="E82" s="163" t="s">
        <v>679</v>
      </c>
      <c r="F82" s="163" t="s">
        <v>680</v>
      </c>
      <c r="G82" s="17"/>
      <c r="H82" s="17"/>
      <c r="I82" s="163" t="s">
        <v>566</v>
      </c>
      <c r="J82" s="163"/>
      <c r="K82" s="163" t="s">
        <v>534</v>
      </c>
      <c r="L82" s="163" t="s">
        <v>289</v>
      </c>
      <c r="M82" s="183"/>
      <c r="N82" s="163" t="s">
        <v>388</v>
      </c>
      <c r="O82" s="163" t="s">
        <v>504</v>
      </c>
      <c r="P82" s="163" t="s">
        <v>237</v>
      </c>
      <c r="Q82" s="185"/>
      <c r="R82" s="57"/>
      <c r="S82" s="3"/>
      <c r="T82" s="3"/>
      <c r="U82" s="56"/>
      <c r="V82" s="3"/>
      <c r="W82" s="56"/>
      <c r="X82" s="56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</row>
    <row r="83" spans="1:66" x14ac:dyDescent="0.25">
      <c r="A83" s="163" t="s">
        <v>499</v>
      </c>
      <c r="B83" s="163" t="s">
        <v>493</v>
      </c>
      <c r="C83" s="163" t="s">
        <v>357</v>
      </c>
      <c r="D83" s="163" t="s">
        <v>453</v>
      </c>
      <c r="E83" s="163" t="s">
        <v>681</v>
      </c>
      <c r="F83" s="163" t="s">
        <v>326</v>
      </c>
      <c r="G83" s="17"/>
      <c r="H83" s="17"/>
      <c r="I83" s="163" t="s">
        <v>567</v>
      </c>
      <c r="J83" s="163"/>
      <c r="K83" s="163" t="s">
        <v>292</v>
      </c>
      <c r="L83" s="163"/>
      <c r="M83" s="183"/>
      <c r="N83" s="163" t="s">
        <v>389</v>
      </c>
      <c r="O83" s="163" t="s">
        <v>255</v>
      </c>
      <c r="P83" s="163" t="s">
        <v>491</v>
      </c>
      <c r="Q83" s="185"/>
      <c r="R83" s="57"/>
      <c r="S83" s="3"/>
      <c r="T83" s="3"/>
      <c r="U83" s="56"/>
      <c r="V83" s="3"/>
      <c r="W83" s="56"/>
      <c r="X83" s="56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</row>
    <row r="84" spans="1:66" x14ac:dyDescent="0.25">
      <c r="A84" s="163" t="s">
        <v>479</v>
      </c>
      <c r="B84" s="163" t="s">
        <v>432</v>
      </c>
      <c r="C84" s="163" t="s">
        <v>358</v>
      </c>
      <c r="D84" s="163" t="s">
        <v>449</v>
      </c>
      <c r="E84" s="163"/>
      <c r="F84" s="163" t="s">
        <v>682</v>
      </c>
      <c r="G84" s="17"/>
      <c r="H84" s="17"/>
      <c r="I84" s="163" t="s">
        <v>568</v>
      </c>
      <c r="J84" s="163"/>
      <c r="K84" s="163" t="s">
        <v>523</v>
      </c>
      <c r="L84" s="163"/>
      <c r="M84" s="184"/>
      <c r="N84" s="163" t="s">
        <v>390</v>
      </c>
      <c r="O84" s="163" t="s">
        <v>515</v>
      </c>
      <c r="P84" s="163" t="s">
        <v>248</v>
      </c>
      <c r="Q84" s="185"/>
      <c r="R84" s="57"/>
      <c r="S84" s="3"/>
      <c r="T84" s="3"/>
      <c r="U84" s="56"/>
      <c r="V84" s="3"/>
      <c r="W84" s="56"/>
      <c r="X84" s="56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</row>
    <row r="85" spans="1:66" x14ac:dyDescent="0.25">
      <c r="A85" s="163" t="s">
        <v>483</v>
      </c>
      <c r="B85" s="163"/>
      <c r="C85" s="183" t="s">
        <v>594</v>
      </c>
      <c r="D85" s="163" t="s">
        <v>445</v>
      </c>
      <c r="E85" s="163"/>
      <c r="F85" s="163" t="s">
        <v>530</v>
      </c>
      <c r="G85" s="17"/>
      <c r="H85" s="17"/>
      <c r="I85" s="163" t="s">
        <v>569</v>
      </c>
      <c r="J85" s="163"/>
      <c r="K85" s="163" t="s">
        <v>619</v>
      </c>
      <c r="L85" s="163"/>
      <c r="M85" s="184"/>
      <c r="N85" s="163" t="s">
        <v>391</v>
      </c>
      <c r="O85" s="163" t="s">
        <v>516</v>
      </c>
      <c r="P85" s="163" t="s">
        <v>492</v>
      </c>
      <c r="Q85" s="185"/>
      <c r="R85" s="57"/>
      <c r="S85" s="3"/>
      <c r="T85" s="3"/>
      <c r="U85" s="56"/>
      <c r="V85" s="3"/>
      <c r="W85" s="56"/>
      <c r="X85" s="56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</row>
    <row r="86" spans="1:66" x14ac:dyDescent="0.25">
      <c r="A86" s="163" t="s">
        <v>465</v>
      </c>
      <c r="B86" s="163"/>
      <c r="C86" s="163" t="s">
        <v>359</v>
      </c>
      <c r="D86" s="163" t="s">
        <v>434</v>
      </c>
      <c r="E86" s="17"/>
      <c r="F86" s="183" t="s">
        <v>600</v>
      </c>
      <c r="G86" s="17"/>
      <c r="H86" s="17"/>
      <c r="I86" s="163" t="s">
        <v>545</v>
      </c>
      <c r="J86" s="17"/>
      <c r="K86" s="163" t="s">
        <v>496</v>
      </c>
      <c r="L86" s="17"/>
      <c r="M86" s="184"/>
      <c r="N86" s="163" t="s">
        <v>392</v>
      </c>
      <c r="O86" s="163"/>
      <c r="P86" s="163" t="s">
        <v>232</v>
      </c>
      <c r="Q86" s="185"/>
      <c r="R86" s="57"/>
      <c r="S86" s="3"/>
      <c r="T86" s="3"/>
      <c r="U86" s="56"/>
      <c r="V86" s="3"/>
      <c r="W86" s="56"/>
      <c r="X86" s="56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</row>
    <row r="87" spans="1:66" x14ac:dyDescent="0.25">
      <c r="A87" s="163" t="s">
        <v>463</v>
      </c>
      <c r="B87" s="163"/>
      <c r="C87" s="183" t="s">
        <v>595</v>
      </c>
      <c r="D87" s="163"/>
      <c r="E87" s="17"/>
      <c r="F87" s="163" t="s">
        <v>247</v>
      </c>
      <c r="G87" s="17"/>
      <c r="H87" s="17"/>
      <c r="I87" s="163" t="s">
        <v>570</v>
      </c>
      <c r="J87" s="17"/>
      <c r="K87" s="163" t="s">
        <v>314</v>
      </c>
      <c r="L87" s="17"/>
      <c r="M87" s="184"/>
      <c r="N87" s="163" t="s">
        <v>393</v>
      </c>
      <c r="O87" s="163"/>
      <c r="P87" s="163" t="s">
        <v>626</v>
      </c>
      <c r="Q87" s="185"/>
      <c r="R87" s="57"/>
      <c r="S87" s="3"/>
      <c r="T87" s="3"/>
      <c r="U87" s="56"/>
      <c r="V87" s="56"/>
      <c r="W87" s="56"/>
      <c r="X87" s="56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</row>
    <row r="88" spans="1:66" x14ac:dyDescent="0.25">
      <c r="A88" s="163" t="s">
        <v>462</v>
      </c>
      <c r="B88" s="163"/>
      <c r="C88" s="163" t="s">
        <v>360</v>
      </c>
      <c r="D88" s="163"/>
      <c r="E88" s="17"/>
      <c r="F88" s="163"/>
      <c r="G88" s="17"/>
      <c r="H88" s="17"/>
      <c r="I88" s="163" t="s">
        <v>571</v>
      </c>
      <c r="J88" s="17"/>
      <c r="K88" s="163" t="s">
        <v>439</v>
      </c>
      <c r="L88" s="17"/>
      <c r="M88" s="184"/>
      <c r="N88" s="163" t="s">
        <v>394</v>
      </c>
      <c r="O88" s="163"/>
      <c r="P88" s="163"/>
      <c r="Q88" s="185"/>
      <c r="R88" s="57"/>
      <c r="S88" s="3"/>
      <c r="T88" s="3"/>
      <c r="U88" s="56"/>
      <c r="V88" s="3"/>
      <c r="W88" s="56"/>
      <c r="X88" s="56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</row>
    <row r="89" spans="1:66" x14ac:dyDescent="0.25">
      <c r="A89" s="163" t="s">
        <v>473</v>
      </c>
      <c r="B89" s="17"/>
      <c r="C89" s="163" t="s">
        <v>519</v>
      </c>
      <c r="D89" s="163"/>
      <c r="E89" s="17"/>
      <c r="F89" s="183"/>
      <c r="G89" s="17"/>
      <c r="H89" s="17"/>
      <c r="I89" s="163" t="s">
        <v>607</v>
      </c>
      <c r="J89" s="17"/>
      <c r="K89" s="163" t="s">
        <v>309</v>
      </c>
      <c r="L89" s="17"/>
      <c r="M89" s="184"/>
      <c r="N89" s="163" t="s">
        <v>623</v>
      </c>
      <c r="O89" s="17"/>
      <c r="P89" s="163"/>
      <c r="Q89" s="185"/>
      <c r="R89" s="162"/>
      <c r="S89" s="3"/>
      <c r="T89" s="3"/>
      <c r="U89" s="56"/>
      <c r="V89" s="3"/>
      <c r="W89" s="56"/>
      <c r="X89" s="56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</row>
    <row r="90" spans="1:66" x14ac:dyDescent="0.25">
      <c r="A90" s="163" t="s">
        <v>518</v>
      </c>
      <c r="B90" s="17"/>
      <c r="C90" s="163" t="s">
        <v>361</v>
      </c>
      <c r="D90" s="163"/>
      <c r="E90" s="17"/>
      <c r="F90" s="183"/>
      <c r="G90" s="17"/>
      <c r="H90" s="17"/>
      <c r="I90" s="163" t="s">
        <v>320</v>
      </c>
      <c r="J90" s="17"/>
      <c r="K90" s="163" t="s">
        <v>433</v>
      </c>
      <c r="L90" s="17"/>
      <c r="M90" s="184"/>
      <c r="N90" s="163" t="s">
        <v>395</v>
      </c>
      <c r="O90" s="17"/>
      <c r="P90" s="163"/>
      <c r="Q90" s="185"/>
      <c r="R90" s="162"/>
      <c r="S90" s="3"/>
      <c r="T90" s="3"/>
      <c r="U90" s="56"/>
      <c r="V90" s="3"/>
      <c r="W90" s="56"/>
      <c r="X90" s="56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</row>
    <row r="91" spans="1:66" x14ac:dyDescent="0.25">
      <c r="A91" s="163"/>
      <c r="B91" s="17"/>
      <c r="C91" s="163" t="s">
        <v>362</v>
      </c>
      <c r="D91" s="17"/>
      <c r="E91" s="17"/>
      <c r="F91" s="184"/>
      <c r="G91" s="17"/>
      <c r="H91" s="17"/>
      <c r="I91" s="163"/>
      <c r="J91" s="17"/>
      <c r="K91" s="163" t="s">
        <v>304</v>
      </c>
      <c r="L91" s="17"/>
      <c r="M91" s="184"/>
      <c r="N91" s="183" t="s">
        <v>535</v>
      </c>
      <c r="O91" s="17"/>
      <c r="P91" s="17"/>
      <c r="Q91" s="185"/>
      <c r="R91" s="162"/>
      <c r="S91" s="3"/>
      <c r="T91" s="3"/>
      <c r="U91" s="56"/>
      <c r="V91" s="3"/>
      <c r="W91" s="56"/>
      <c r="X91" s="56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</row>
    <row r="92" spans="1:66" x14ac:dyDescent="0.25">
      <c r="A92" s="163"/>
      <c r="B92" s="17"/>
      <c r="C92" s="183" t="s">
        <v>596</v>
      </c>
      <c r="D92" s="17"/>
      <c r="E92" s="17"/>
      <c r="F92" s="184"/>
      <c r="G92" s="17"/>
      <c r="H92" s="17"/>
      <c r="I92" s="163"/>
      <c r="J92" s="17"/>
      <c r="K92" s="163" t="s">
        <v>310</v>
      </c>
      <c r="L92" s="17"/>
      <c r="M92" s="184"/>
      <c r="N92" s="163" t="s">
        <v>396</v>
      </c>
      <c r="O92" s="17"/>
      <c r="P92" s="17"/>
      <c r="Q92" s="185"/>
      <c r="R92" s="162"/>
      <c r="S92" s="3"/>
      <c r="T92" s="3"/>
      <c r="U92" s="56"/>
      <c r="V92" s="3"/>
      <c r="W92" s="56"/>
      <c r="X92" s="56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</row>
    <row r="93" spans="1:66" x14ac:dyDescent="0.25">
      <c r="A93" s="163"/>
      <c r="B93" s="17"/>
      <c r="C93" s="183"/>
      <c r="D93" s="184"/>
      <c r="E93" s="17"/>
      <c r="F93" s="184"/>
      <c r="G93" s="17"/>
      <c r="H93" s="17"/>
      <c r="I93" s="163"/>
      <c r="J93" s="17"/>
      <c r="K93" s="163" t="s">
        <v>317</v>
      </c>
      <c r="L93" s="17"/>
      <c r="M93" s="184"/>
      <c r="N93" s="163" t="s">
        <v>397</v>
      </c>
      <c r="O93" s="17"/>
      <c r="P93" s="17"/>
      <c r="Q93" s="185"/>
      <c r="R93" s="162"/>
      <c r="S93" s="3"/>
      <c r="T93" s="3"/>
      <c r="U93" s="56"/>
      <c r="V93" s="3"/>
      <c r="W93" s="56"/>
      <c r="X93" s="56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</row>
    <row r="94" spans="1:66" x14ac:dyDescent="0.25">
      <c r="A94" s="17"/>
      <c r="B94" s="17"/>
      <c r="C94" s="183"/>
      <c r="D94" s="184"/>
      <c r="E94" s="17"/>
      <c r="F94" s="184"/>
      <c r="G94" s="17"/>
      <c r="H94" s="17"/>
      <c r="I94" s="17"/>
      <c r="J94" s="17"/>
      <c r="K94" s="163" t="s">
        <v>323</v>
      </c>
      <c r="L94" s="17"/>
      <c r="M94" s="184"/>
      <c r="N94" s="163"/>
      <c r="O94" s="17"/>
      <c r="P94" s="17"/>
      <c r="Q94" s="185"/>
      <c r="R94" s="162"/>
      <c r="S94" s="3"/>
      <c r="T94" s="3"/>
      <c r="U94" s="56"/>
      <c r="V94" s="56"/>
      <c r="W94" s="56"/>
      <c r="X94" s="56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</row>
    <row r="95" spans="1:66" ht="17.25" customHeight="1" x14ac:dyDescent="0.25">
      <c r="A95" s="17"/>
      <c r="B95" s="17"/>
      <c r="C95" s="183"/>
      <c r="D95" s="184"/>
      <c r="E95" s="17"/>
      <c r="F95" s="184"/>
      <c r="G95" s="17"/>
      <c r="H95" s="17"/>
      <c r="I95" s="17"/>
      <c r="J95" s="17"/>
      <c r="K95" s="163" t="s">
        <v>533</v>
      </c>
      <c r="L95" s="17"/>
      <c r="M95" s="184"/>
      <c r="N95" s="163"/>
      <c r="O95" s="17"/>
      <c r="P95" s="17"/>
      <c r="Q95" s="185"/>
      <c r="R95" s="162"/>
      <c r="W95" s="56"/>
      <c r="X95" s="56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</row>
    <row r="96" spans="1:66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63" t="s">
        <v>300</v>
      </c>
      <c r="L96" s="17"/>
      <c r="M96" s="184"/>
      <c r="N96" s="183"/>
      <c r="O96" s="17"/>
      <c r="P96" s="17"/>
      <c r="Q96" s="185"/>
      <c r="R96" s="162"/>
      <c r="S96" s="3"/>
      <c r="T96" s="56"/>
      <c r="U96" s="3"/>
      <c r="V96" s="56"/>
      <c r="X96" s="56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</row>
    <row r="97" spans="1:69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63" t="s">
        <v>311</v>
      </c>
      <c r="L97" s="17"/>
      <c r="M97" s="17"/>
      <c r="N97" s="163"/>
      <c r="O97" s="17"/>
      <c r="P97" s="17"/>
      <c r="Q97" s="185"/>
      <c r="R97" s="162"/>
      <c r="S97" s="3"/>
      <c r="T97" s="56"/>
      <c r="U97" s="56"/>
      <c r="V97" s="56"/>
      <c r="W97" s="56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</row>
    <row r="98" spans="1:69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63" t="s">
        <v>293</v>
      </c>
      <c r="L98" s="17"/>
      <c r="M98" s="184"/>
      <c r="N98" s="184"/>
      <c r="O98" s="17"/>
      <c r="P98" s="17"/>
      <c r="Q98" s="185"/>
      <c r="R98" s="162"/>
      <c r="S98" s="3"/>
      <c r="T98" s="56"/>
      <c r="U98" s="3"/>
      <c r="V98" s="56"/>
      <c r="W98" s="56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</row>
    <row r="99" spans="1:69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63" t="s">
        <v>307</v>
      </c>
      <c r="L99" s="17"/>
      <c r="M99" s="184"/>
      <c r="N99" s="184"/>
      <c r="O99" s="17"/>
      <c r="P99" s="17"/>
      <c r="Q99" s="185"/>
      <c r="R99" s="162"/>
      <c r="S99" s="3"/>
      <c r="T99" s="56"/>
      <c r="U99" s="56"/>
      <c r="V99" s="56"/>
      <c r="W99" s="56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</row>
    <row r="100" spans="1:69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63" t="s">
        <v>290</v>
      </c>
      <c r="L100" s="17"/>
      <c r="M100" s="17"/>
      <c r="N100" s="17"/>
      <c r="O100" s="17"/>
      <c r="P100" s="17"/>
      <c r="Q100" s="185"/>
      <c r="R100" s="162"/>
      <c r="S100" s="3"/>
      <c r="T100" s="56"/>
      <c r="U100" s="3"/>
      <c r="V100" s="56"/>
      <c r="W100" s="56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  <c r="BE100" s="57"/>
      <c r="BF100" s="57"/>
      <c r="BG100" s="57"/>
      <c r="BH100" s="57"/>
      <c r="BI100" s="57"/>
      <c r="BJ100" s="57"/>
      <c r="BK100" s="57"/>
      <c r="BL100" s="57"/>
      <c r="BM100" s="57"/>
      <c r="BN100" s="57"/>
      <c r="BO100" s="57"/>
    </row>
    <row r="101" spans="1:69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63"/>
      <c r="L101" s="17"/>
      <c r="M101" s="17"/>
      <c r="N101" s="17"/>
      <c r="O101" s="17"/>
      <c r="P101" s="17"/>
      <c r="Q101" s="185"/>
      <c r="R101" s="57"/>
      <c r="S101" s="3"/>
      <c r="T101" s="56"/>
      <c r="U101" s="3"/>
      <c r="V101" s="56"/>
      <c r="W101" s="56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57"/>
      <c r="BD101" s="57"/>
      <c r="BE101" s="57"/>
      <c r="BF101" s="57"/>
      <c r="BG101" s="57"/>
      <c r="BH101" s="57"/>
      <c r="BI101" s="57"/>
      <c r="BJ101" s="57"/>
      <c r="BK101" s="57"/>
      <c r="BL101" s="57"/>
      <c r="BM101" s="57"/>
      <c r="BN101" s="57"/>
      <c r="BO101" s="57"/>
      <c r="BP101" s="57"/>
    </row>
    <row r="102" spans="1:69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63"/>
      <c r="L102" s="17"/>
      <c r="M102" s="17"/>
      <c r="N102" s="17"/>
      <c r="O102" s="17"/>
      <c r="P102" s="17"/>
      <c r="Q102" s="185"/>
      <c r="R102" s="57"/>
      <c r="S102" s="3"/>
      <c r="T102" s="56"/>
      <c r="U102" s="3"/>
      <c r="V102" s="56"/>
      <c r="W102" s="56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T102" s="57"/>
      <c r="AU102" s="57"/>
      <c r="AV102" s="57"/>
      <c r="AW102" s="57"/>
      <c r="AX102" s="57"/>
      <c r="AY102" s="57"/>
      <c r="AZ102" s="57"/>
      <c r="BA102" s="57"/>
      <c r="BB102" s="57"/>
      <c r="BC102" s="57"/>
      <c r="BD102" s="57"/>
      <c r="BE102" s="57"/>
      <c r="BF102" s="57"/>
      <c r="BG102" s="57"/>
      <c r="BH102" s="57"/>
      <c r="BI102" s="57"/>
      <c r="BJ102" s="57"/>
      <c r="BK102" s="57"/>
      <c r="BL102" s="57"/>
      <c r="BM102" s="57"/>
      <c r="BN102" s="57"/>
      <c r="BO102" s="57"/>
      <c r="BP102" s="57"/>
    </row>
    <row r="103" spans="1:69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63"/>
      <c r="L103" s="17"/>
      <c r="M103" s="17"/>
      <c r="N103" s="17"/>
      <c r="O103" s="17"/>
      <c r="P103" s="17"/>
      <c r="Q103" s="185"/>
      <c r="R103" s="57"/>
      <c r="S103" s="3"/>
      <c r="T103" s="56"/>
      <c r="U103" s="3"/>
      <c r="V103" s="56"/>
      <c r="W103" s="56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</row>
    <row r="104" spans="1:69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7"/>
      <c r="Q104" s="185"/>
      <c r="R104" s="57"/>
      <c r="S104" s="3"/>
      <c r="T104" s="56"/>
      <c r="U104" s="56"/>
      <c r="V104" s="56"/>
      <c r="W104" s="56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57"/>
      <c r="BD104" s="57"/>
      <c r="BE104" s="57"/>
      <c r="BF104" s="57"/>
      <c r="BG104" s="57"/>
      <c r="BH104" s="57"/>
      <c r="BI104" s="57"/>
      <c r="BJ104" s="57"/>
      <c r="BK104" s="57"/>
      <c r="BL104" s="57"/>
      <c r="BM104" s="57"/>
      <c r="BN104" s="57"/>
      <c r="BO104" s="57"/>
      <c r="BP104" s="57"/>
    </row>
    <row r="105" spans="1:69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7"/>
      <c r="Q105" s="185"/>
      <c r="R105" s="57"/>
      <c r="S105" s="3"/>
      <c r="T105" s="56"/>
      <c r="U105" s="3"/>
      <c r="V105" s="56"/>
      <c r="W105" s="56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  <c r="BE105" s="57"/>
      <c r="BF105" s="57"/>
      <c r="BG105" s="57"/>
      <c r="BH105" s="57"/>
      <c r="BI105" s="57"/>
      <c r="BJ105" s="57"/>
      <c r="BK105" s="57"/>
      <c r="BL105" s="57"/>
      <c r="BM105" s="57"/>
      <c r="BN105" s="57"/>
      <c r="BO105" s="57"/>
      <c r="BP105" s="57"/>
    </row>
    <row r="106" spans="1:69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7"/>
      <c r="Q106" s="185"/>
      <c r="R106" s="57"/>
      <c r="S106" s="3"/>
      <c r="T106" s="56"/>
      <c r="U106" s="3"/>
      <c r="V106" s="56"/>
      <c r="W106" s="56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T106" s="57"/>
      <c r="AU106" s="57"/>
      <c r="AV106" s="57"/>
      <c r="AW106" s="57"/>
      <c r="AX106" s="57"/>
      <c r="AY106" s="57"/>
      <c r="AZ106" s="57"/>
      <c r="BA106" s="57"/>
      <c r="BB106" s="57"/>
      <c r="BC106" s="57"/>
      <c r="BD106" s="57"/>
      <c r="BE106" s="57"/>
      <c r="BF106" s="57"/>
      <c r="BG106" s="57"/>
      <c r="BH106" s="57"/>
      <c r="BI106" s="57"/>
      <c r="BJ106" s="57"/>
      <c r="BK106" s="57"/>
      <c r="BL106" s="57"/>
      <c r="BM106" s="57"/>
      <c r="BN106" s="57"/>
      <c r="BO106" s="57"/>
      <c r="BP106" s="57"/>
    </row>
    <row r="107" spans="1:69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46"/>
      <c r="P107" s="17"/>
      <c r="Q107" s="185"/>
      <c r="R107" s="57"/>
      <c r="S107" s="3"/>
      <c r="T107" s="56"/>
      <c r="U107" s="56"/>
      <c r="V107" s="56"/>
      <c r="W107" s="56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T107" s="57"/>
      <c r="AU107" s="57"/>
      <c r="AV107" s="57"/>
      <c r="AW107" s="57"/>
      <c r="AX107" s="57"/>
      <c r="AY107" s="57"/>
      <c r="AZ107" s="57"/>
      <c r="BA107" s="57"/>
      <c r="BB107" s="57"/>
      <c r="BC107" s="57"/>
      <c r="BD107" s="57"/>
      <c r="BE107" s="57"/>
      <c r="BF107" s="57"/>
      <c r="BG107" s="57"/>
      <c r="BH107" s="57"/>
      <c r="BI107" s="57"/>
      <c r="BJ107" s="57"/>
      <c r="BK107" s="57"/>
      <c r="BL107" s="57"/>
      <c r="BM107" s="57"/>
      <c r="BN107" s="57"/>
      <c r="BO107" s="57"/>
      <c r="BP107" s="57"/>
      <c r="BQ107" s="57"/>
    </row>
    <row r="108" spans="1:69" x14ac:dyDescent="0.25">
      <c r="A108" s="146"/>
      <c r="B108" s="146"/>
      <c r="C108" s="146"/>
      <c r="D108" s="146"/>
      <c r="E108" s="146"/>
      <c r="F108" s="146"/>
      <c r="G108" s="146"/>
      <c r="H108" s="146"/>
      <c r="I108" s="146"/>
      <c r="J108" s="146"/>
      <c r="K108" s="146"/>
      <c r="L108" s="146"/>
      <c r="M108" s="146"/>
      <c r="N108" s="146"/>
      <c r="O108" s="146"/>
      <c r="P108" s="146"/>
      <c r="Q108" s="57"/>
      <c r="R108" s="57"/>
      <c r="W108" s="56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T108" s="57"/>
      <c r="AU108" s="57"/>
      <c r="AV108" s="57"/>
      <c r="AW108" s="57"/>
      <c r="AX108" s="57"/>
      <c r="AY108" s="57"/>
      <c r="AZ108" s="57"/>
      <c r="BA108" s="57"/>
      <c r="BB108" s="57"/>
      <c r="BC108" s="57"/>
      <c r="BD108" s="57"/>
      <c r="BE108" s="57"/>
      <c r="BF108" s="57"/>
      <c r="BG108" s="57"/>
      <c r="BH108" s="57"/>
      <c r="BI108" s="57"/>
      <c r="BJ108" s="57"/>
      <c r="BK108" s="57"/>
      <c r="BL108" s="57"/>
      <c r="BM108" s="57"/>
      <c r="BN108" s="57"/>
      <c r="BO108" s="57"/>
      <c r="BP108" s="57"/>
      <c r="BQ108" s="57"/>
    </row>
    <row r="109" spans="1:69" x14ac:dyDescent="0.25">
      <c r="A109" s="146"/>
      <c r="B109" s="146"/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  <c r="O109" s="146"/>
      <c r="P109" s="146"/>
      <c r="Q109" s="57"/>
      <c r="R109" s="57"/>
      <c r="S109" s="57"/>
      <c r="T109" s="57"/>
      <c r="U109" s="57"/>
      <c r="V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T109" s="57"/>
      <c r="AU109" s="57"/>
      <c r="AV109" s="57"/>
      <c r="AW109" s="57"/>
      <c r="AX109" s="57"/>
      <c r="AY109" s="57"/>
      <c r="AZ109" s="57"/>
      <c r="BA109" s="57"/>
      <c r="BB109" s="57"/>
      <c r="BC109" s="57"/>
      <c r="BD109" s="57"/>
      <c r="BE109" s="57"/>
      <c r="BF109" s="57"/>
      <c r="BG109" s="57"/>
      <c r="BH109" s="57"/>
      <c r="BI109" s="57"/>
      <c r="BJ109" s="57"/>
      <c r="BK109" s="57"/>
      <c r="BL109" s="57"/>
      <c r="BM109" s="57"/>
      <c r="BN109" s="57"/>
      <c r="BO109" s="57"/>
      <c r="BP109" s="57"/>
      <c r="BQ109" s="57"/>
    </row>
    <row r="110" spans="1:69" x14ac:dyDescent="0.25">
      <c r="A110" s="146"/>
      <c r="B110" s="146"/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T110" s="57"/>
      <c r="AU110" s="57"/>
      <c r="AV110" s="57"/>
      <c r="AW110" s="57"/>
      <c r="AX110" s="57"/>
      <c r="AY110" s="57"/>
      <c r="AZ110" s="57"/>
      <c r="BA110" s="57"/>
      <c r="BB110" s="57"/>
      <c r="BC110" s="57"/>
      <c r="BD110" s="57"/>
      <c r="BE110" s="57"/>
      <c r="BF110" s="57"/>
      <c r="BG110" s="57"/>
      <c r="BH110" s="57"/>
      <c r="BI110" s="57"/>
      <c r="BJ110" s="57"/>
      <c r="BK110" s="57"/>
      <c r="BL110" s="57"/>
      <c r="BM110" s="57"/>
      <c r="BN110" s="57"/>
      <c r="BO110" s="57"/>
      <c r="BP110" s="57"/>
      <c r="BQ110" s="57"/>
    </row>
    <row r="111" spans="1:69" x14ac:dyDescent="0.25">
      <c r="A111" s="146"/>
      <c r="B111" s="146"/>
      <c r="C111" s="146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  <c r="P111" s="146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T111" s="57"/>
      <c r="AU111" s="57"/>
      <c r="AV111" s="57"/>
      <c r="AW111" s="57"/>
      <c r="AX111" s="57"/>
      <c r="AY111" s="57"/>
      <c r="AZ111" s="57"/>
      <c r="BA111" s="57"/>
      <c r="BB111" s="57"/>
      <c r="BC111" s="57"/>
      <c r="BD111" s="57"/>
      <c r="BE111" s="57"/>
      <c r="BF111" s="57"/>
      <c r="BG111" s="57"/>
      <c r="BH111" s="57"/>
      <c r="BI111" s="57"/>
      <c r="BJ111" s="57"/>
      <c r="BK111" s="57"/>
      <c r="BL111" s="57"/>
      <c r="BM111" s="57"/>
      <c r="BN111" s="57"/>
      <c r="BO111" s="57"/>
      <c r="BP111" s="57"/>
      <c r="BQ111" s="57"/>
    </row>
    <row r="112" spans="1:69" x14ac:dyDescent="0.25">
      <c r="A112" s="146"/>
      <c r="B112" s="146"/>
      <c r="C112" s="146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  <c r="AT112" s="57"/>
      <c r="AU112" s="57"/>
      <c r="AV112" s="57"/>
      <c r="AW112" s="57"/>
      <c r="AX112" s="57"/>
      <c r="AY112" s="57"/>
      <c r="AZ112" s="57"/>
      <c r="BA112" s="57"/>
      <c r="BB112" s="57"/>
      <c r="BC112" s="57"/>
      <c r="BD112" s="57"/>
      <c r="BE112" s="57"/>
      <c r="BF112" s="57"/>
      <c r="BG112" s="57"/>
      <c r="BH112" s="57"/>
      <c r="BI112" s="57"/>
      <c r="BJ112" s="57"/>
      <c r="BK112" s="57"/>
      <c r="BL112" s="57"/>
      <c r="BM112" s="57"/>
      <c r="BN112" s="57"/>
      <c r="BO112" s="57"/>
      <c r="BP112" s="57"/>
      <c r="BQ112" s="57"/>
    </row>
    <row r="113" spans="1:72" x14ac:dyDescent="0.25">
      <c r="A113" s="146"/>
      <c r="B113" s="146"/>
      <c r="C113" s="146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  <c r="AT113" s="57"/>
      <c r="AU113" s="57"/>
      <c r="AV113" s="57"/>
      <c r="AW113" s="57"/>
      <c r="AX113" s="57"/>
      <c r="AY113" s="57"/>
      <c r="AZ113" s="57"/>
      <c r="BA113" s="57"/>
      <c r="BB113" s="57"/>
      <c r="BC113" s="57"/>
      <c r="BD113" s="57"/>
      <c r="BE113" s="57"/>
      <c r="BF113" s="57"/>
      <c r="BG113" s="57"/>
      <c r="BH113" s="57"/>
      <c r="BI113" s="57"/>
      <c r="BJ113" s="57"/>
      <c r="BK113" s="57"/>
      <c r="BL113" s="57"/>
      <c r="BM113" s="57"/>
      <c r="BN113" s="57"/>
      <c r="BO113" s="57"/>
      <c r="BP113" s="57"/>
      <c r="BQ113" s="57"/>
      <c r="BR113" s="57"/>
    </row>
    <row r="114" spans="1:72" x14ac:dyDescent="0.25">
      <c r="A114" s="146"/>
      <c r="B114" s="146"/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  <c r="AT114" s="57"/>
      <c r="AU114" s="57"/>
      <c r="AV114" s="57"/>
      <c r="AW114" s="57"/>
      <c r="AX114" s="57"/>
      <c r="AY114" s="57"/>
      <c r="AZ114" s="57"/>
      <c r="BA114" s="57"/>
      <c r="BB114" s="57"/>
      <c r="BC114" s="57"/>
      <c r="BD114" s="57"/>
      <c r="BE114" s="57"/>
      <c r="BF114" s="57"/>
      <c r="BG114" s="57"/>
      <c r="BH114" s="57"/>
      <c r="BI114" s="57"/>
      <c r="BJ114" s="57"/>
      <c r="BK114" s="57"/>
      <c r="BL114" s="57"/>
      <c r="BM114" s="57"/>
      <c r="BN114" s="57"/>
      <c r="BO114" s="57"/>
      <c r="BP114" s="57"/>
      <c r="BQ114" s="57"/>
      <c r="BR114" s="57"/>
    </row>
    <row r="115" spans="1:72" x14ac:dyDescent="0.25">
      <c r="A115" s="146"/>
      <c r="B115" s="146"/>
      <c r="C115" s="146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  <c r="AT115" s="57"/>
      <c r="AU115" s="57"/>
      <c r="AV115" s="57"/>
      <c r="AW115" s="57"/>
      <c r="AX115" s="57"/>
      <c r="AY115" s="57"/>
      <c r="AZ115" s="57"/>
      <c r="BA115" s="57"/>
      <c r="BB115" s="57"/>
      <c r="BC115" s="57"/>
      <c r="BD115" s="57"/>
      <c r="BE115" s="57"/>
      <c r="BF115" s="57"/>
      <c r="BG115" s="57"/>
      <c r="BH115" s="57"/>
      <c r="BI115" s="57"/>
      <c r="BJ115" s="57"/>
      <c r="BK115" s="57"/>
      <c r="BL115" s="57"/>
      <c r="BM115" s="57"/>
      <c r="BN115" s="57"/>
      <c r="BO115" s="57"/>
      <c r="BP115" s="57"/>
      <c r="BQ115" s="57"/>
      <c r="BR115" s="57"/>
    </row>
    <row r="116" spans="1:72" x14ac:dyDescent="0.25">
      <c r="A116" s="146"/>
      <c r="B116" s="146"/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  <c r="AT116" s="57"/>
      <c r="AU116" s="57"/>
      <c r="AV116" s="57"/>
      <c r="AW116" s="57"/>
      <c r="AX116" s="57"/>
      <c r="AY116" s="57"/>
      <c r="AZ116" s="57"/>
      <c r="BA116" s="57"/>
      <c r="BB116" s="57"/>
      <c r="BC116" s="57"/>
      <c r="BD116" s="57"/>
      <c r="BE116" s="57"/>
      <c r="BF116" s="57"/>
      <c r="BG116" s="57"/>
      <c r="BH116" s="57"/>
      <c r="BI116" s="57"/>
      <c r="BJ116" s="57"/>
      <c r="BK116" s="57"/>
      <c r="BL116" s="57"/>
      <c r="BM116" s="57"/>
      <c r="BN116" s="57"/>
      <c r="BO116" s="57"/>
      <c r="BP116" s="57"/>
      <c r="BQ116" s="57"/>
      <c r="BR116" s="57"/>
    </row>
    <row r="117" spans="1:72" x14ac:dyDescent="0.25">
      <c r="A117" s="146"/>
      <c r="B117" s="146"/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  <c r="AT117" s="57"/>
      <c r="AU117" s="57"/>
      <c r="AV117" s="57"/>
      <c r="AW117" s="57"/>
      <c r="AX117" s="57"/>
      <c r="AY117" s="57"/>
      <c r="AZ117" s="57"/>
      <c r="BA117" s="57"/>
      <c r="BB117" s="57"/>
      <c r="BC117" s="57"/>
      <c r="BD117" s="57"/>
      <c r="BE117" s="57"/>
      <c r="BF117" s="57"/>
      <c r="BG117" s="57"/>
      <c r="BH117" s="57"/>
      <c r="BI117" s="57"/>
      <c r="BJ117" s="57"/>
      <c r="BK117" s="57"/>
      <c r="BL117" s="57"/>
      <c r="BM117" s="57"/>
      <c r="BN117" s="57"/>
      <c r="BO117" s="57"/>
      <c r="BP117" s="57"/>
      <c r="BQ117" s="57"/>
      <c r="BR117" s="57"/>
    </row>
    <row r="118" spans="1:72" x14ac:dyDescent="0.25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  <c r="AT118" s="57"/>
      <c r="AU118" s="57"/>
      <c r="AV118" s="57"/>
      <c r="AW118" s="57"/>
      <c r="AX118" s="57"/>
      <c r="AY118" s="57"/>
      <c r="AZ118" s="57"/>
      <c r="BA118" s="57"/>
      <c r="BB118" s="57"/>
      <c r="BC118" s="57"/>
      <c r="BD118" s="57"/>
      <c r="BE118" s="57"/>
      <c r="BF118" s="57"/>
      <c r="BG118" s="57"/>
      <c r="BH118" s="57"/>
      <c r="BI118" s="57"/>
      <c r="BJ118" s="57"/>
      <c r="BK118" s="57"/>
      <c r="BL118" s="57"/>
      <c r="BM118" s="57"/>
      <c r="BN118" s="57"/>
      <c r="BO118" s="57"/>
      <c r="BP118" s="57"/>
      <c r="BQ118" s="57"/>
      <c r="BR118" s="57"/>
    </row>
    <row r="119" spans="1:72" ht="15.75" thickBot="1" x14ac:dyDescent="0.3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170" t="s">
        <v>194</v>
      </c>
      <c r="AB119" s="170"/>
      <c r="AC119" s="170"/>
      <c r="AD119" s="170"/>
      <c r="AE119" s="170"/>
      <c r="AF119" s="170"/>
      <c r="AG119" s="170" t="s">
        <v>195</v>
      </c>
      <c r="AH119" s="170"/>
      <c r="AI119" s="170"/>
      <c r="AJ119" s="170"/>
      <c r="AK119" s="170"/>
      <c r="AL119" s="170"/>
      <c r="AM119" s="170"/>
      <c r="AN119" s="170"/>
      <c r="AO119" s="170"/>
      <c r="AP119" s="57"/>
      <c r="AQ119" s="57"/>
      <c r="AT119" s="57"/>
      <c r="AU119" s="57"/>
      <c r="AV119" s="57"/>
      <c r="AW119" s="57"/>
      <c r="AX119" s="57"/>
      <c r="AY119" s="57"/>
      <c r="AZ119" s="57"/>
      <c r="BA119" s="57"/>
      <c r="BB119" s="57"/>
      <c r="BC119" s="57"/>
      <c r="BD119" s="57"/>
      <c r="BE119" s="57"/>
      <c r="BF119" s="57"/>
      <c r="BG119" s="57"/>
      <c r="BH119" s="57"/>
      <c r="BI119" s="57"/>
      <c r="BJ119" s="57"/>
      <c r="BK119" s="57"/>
      <c r="BL119" s="57"/>
      <c r="BM119" s="57"/>
      <c r="BN119" s="57"/>
      <c r="BO119" s="57"/>
      <c r="BP119" s="57"/>
      <c r="BQ119" s="57"/>
      <c r="BR119" s="57"/>
    </row>
    <row r="120" spans="1:72" x14ac:dyDescent="0.25">
      <c r="A120" s="133" t="s">
        <v>161</v>
      </c>
      <c r="B120" s="109" t="s">
        <v>162</v>
      </c>
      <c r="C120" s="109" t="s">
        <v>163</v>
      </c>
      <c r="D120" s="109" t="s">
        <v>164</v>
      </c>
      <c r="E120" s="109" t="s">
        <v>165</v>
      </c>
      <c r="F120" s="109" t="s">
        <v>10</v>
      </c>
      <c r="G120" s="109" t="s">
        <v>166</v>
      </c>
      <c r="H120" s="109" t="s">
        <v>11</v>
      </c>
      <c r="I120" s="109" t="s">
        <v>13</v>
      </c>
      <c r="J120" s="109" t="s">
        <v>167</v>
      </c>
      <c r="K120" s="134" t="s">
        <v>168</v>
      </c>
      <c r="L120" s="134" t="s">
        <v>169</v>
      </c>
      <c r="M120" s="134" t="s">
        <v>170</v>
      </c>
      <c r="N120" s="134" t="s">
        <v>171</v>
      </c>
      <c r="O120" s="134" t="s">
        <v>203</v>
      </c>
      <c r="P120" s="134" t="s">
        <v>201</v>
      </c>
      <c r="Q120" s="134" t="s">
        <v>202</v>
      </c>
      <c r="R120" s="134" t="s">
        <v>172</v>
      </c>
      <c r="S120" s="134" t="s">
        <v>173</v>
      </c>
      <c r="T120" s="134" t="s">
        <v>174</v>
      </c>
      <c r="U120" s="134" t="s">
        <v>76</v>
      </c>
      <c r="V120" s="134" t="s">
        <v>175</v>
      </c>
      <c r="W120" s="134" t="s">
        <v>176</v>
      </c>
      <c r="X120" s="134" t="s">
        <v>177</v>
      </c>
      <c r="Y120" s="134" t="s">
        <v>178</v>
      </c>
      <c r="Z120" s="134" t="s">
        <v>180</v>
      </c>
      <c r="AA120" s="134" t="s">
        <v>181</v>
      </c>
      <c r="AB120" s="134" t="s">
        <v>182</v>
      </c>
      <c r="AC120" s="134" t="s">
        <v>183</v>
      </c>
      <c r="AD120" s="134" t="s">
        <v>189</v>
      </c>
      <c r="AE120" s="134" t="s">
        <v>190</v>
      </c>
      <c r="AF120" s="135" t="s">
        <v>206</v>
      </c>
      <c r="AG120" s="136" t="s">
        <v>191</v>
      </c>
      <c r="AH120" s="137" t="s">
        <v>204</v>
      </c>
      <c r="AI120" s="138" t="s">
        <v>205</v>
      </c>
      <c r="AJ120" s="109" t="s">
        <v>28</v>
      </c>
      <c r="AK120" s="134" t="s">
        <v>192</v>
      </c>
      <c r="AL120" s="134" t="s">
        <v>76</v>
      </c>
      <c r="AM120" s="134" t="s">
        <v>199</v>
      </c>
      <c r="AN120" s="134" t="s">
        <v>197</v>
      </c>
      <c r="AO120" s="134" t="s">
        <v>196</v>
      </c>
      <c r="AP120" s="134" t="s">
        <v>193</v>
      </c>
      <c r="AQ120" s="134" t="s">
        <v>200</v>
      </c>
      <c r="AR120" s="134" t="s">
        <v>211</v>
      </c>
      <c r="AS120" s="139" t="s">
        <v>212</v>
      </c>
      <c r="AT120" s="110" t="s">
        <v>489</v>
      </c>
      <c r="AU120" s="110" t="s">
        <v>490</v>
      </c>
      <c r="AV120" s="57"/>
      <c r="AW120" s="57"/>
      <c r="AX120" s="57"/>
      <c r="AY120" s="57"/>
      <c r="AZ120" s="57"/>
      <c r="BA120" s="57"/>
      <c r="BB120" s="57"/>
      <c r="BC120" s="57"/>
      <c r="BD120" s="57"/>
      <c r="BE120" s="57"/>
      <c r="BF120" s="57"/>
      <c r="BG120" s="57"/>
      <c r="BH120" s="57"/>
      <c r="BI120" s="57"/>
      <c r="BJ120" s="57"/>
      <c r="BK120" s="57"/>
      <c r="BL120" s="57"/>
      <c r="BM120" s="57"/>
      <c r="BN120" s="57"/>
      <c r="BO120" s="57"/>
      <c r="BP120" s="57"/>
      <c r="BQ120" s="57"/>
      <c r="BR120" s="57"/>
      <c r="BS120" s="57"/>
      <c r="BT120" s="57"/>
    </row>
    <row r="121" spans="1:72" x14ac:dyDescent="0.25">
      <c r="A121" s="140">
        <f>B8</f>
        <v>0</v>
      </c>
      <c r="B121" s="116">
        <f>A8</f>
        <v>1</v>
      </c>
      <c r="C121" s="116">
        <v>1</v>
      </c>
      <c r="D121" s="116">
        <f>1-COUNTBLANK(C8)</f>
        <v>0</v>
      </c>
      <c r="E121" s="116">
        <f>COUNTIF(C8,"not out")</f>
        <v>0</v>
      </c>
      <c r="F121" s="116">
        <f>F8</f>
        <v>0</v>
      </c>
      <c r="G121" s="116">
        <f>G8</f>
        <v>0</v>
      </c>
      <c r="H121" s="141">
        <f>I8</f>
        <v>0</v>
      </c>
      <c r="I121" s="116">
        <f>J8</f>
        <v>0</v>
      </c>
      <c r="J121" s="116">
        <f>K8</f>
        <v>0</v>
      </c>
      <c r="K121" s="110">
        <f>SUMIF(O$8:O$18,VLOOKUP(1,A$8:B$18,2,FALSE),Q$8:Q$18)+SUMIF(P$8:P$18,VLOOKUP(1,A$8:B$18,2,FALSE),Q$8:Q$18)</f>
        <v>0</v>
      </c>
      <c r="L121" s="110">
        <f>COUNTIFS('2nd Innings'!$C$8:$C$18,"caught",'2nd Innings'!$D$8:$D$18,VLOOKUP(1,$A$8:$B$18,2,FALSE))+COUNTIFS('2nd Innings'!$C$8:$C$18,"caught WK",'2nd Innings'!$D$8:$D$18,VLOOKUP(1,$A$8:$B$18,2,FALSE))</f>
        <v>0</v>
      </c>
      <c r="M121" s="110">
        <f>COUNTIFS('2nd Innings'!$C$8:$C$18,"Run Out",'2nd Innings'!$D$8:$D$18,VLOOKUP(1,$A$8:$B$18,2,FALSE))</f>
        <v>0</v>
      </c>
      <c r="N121" s="110">
        <f>COUNTIFS('2nd Innings'!$C$8:$C$18,"Stumped",'2nd Innings'!$D$8:$D$18,VLOOKUP(1,$A$8:$B$18,2,FALSE))</f>
        <v>0</v>
      </c>
      <c r="O121" s="110">
        <f>SUM(L121:N121)</f>
        <v>0</v>
      </c>
      <c r="P121" s="110">
        <f t="shared" ref="P121:P142" si="5">COUNTIF(O121,"&gt;2")-Q121</f>
        <v>0</v>
      </c>
      <c r="Q121" s="110">
        <f>COUNTIF(O121,"&gt;4")</f>
        <v>0</v>
      </c>
      <c r="R121" s="110" t="e">
        <f>VLOOKUP(VLOOKUP(1,$A$8:$B$18,2,FALSE),'2nd Innings'!$D$26:$N$36,2,FALSE)</f>
        <v>#N/A</v>
      </c>
      <c r="S121" s="110" t="e">
        <f>VLOOKUP(VLOOKUP(1,$A$8:$B$18,2,FALSE),'2nd Innings'!$D$26:$N$36,3,FALSE)</f>
        <v>#N/A</v>
      </c>
      <c r="T121" s="110" t="e">
        <f>VLOOKUP(VLOOKUP(1,$A$8:$B$18,2,FALSE),'2nd Innings'!$D$26:$N$36,4,FALSE)</f>
        <v>#N/A</v>
      </c>
      <c r="U121" s="110" t="e">
        <f>VLOOKUP(VLOOKUP(1,$A$8:$B$18,2,FALSE),'2nd Innings'!$D$26:$N$36,5,FALSE)</f>
        <v>#N/A</v>
      </c>
      <c r="V121" s="110" t="e">
        <f>VLOOKUP(VLOOKUP(1,$A$8:$B$18,2,FALSE),'2nd Innings'!$D$26:$N$36,6,FALSE)</f>
        <v>#N/A</v>
      </c>
      <c r="W121" s="110" t="e">
        <f>VLOOKUP(VLOOKUP(1,$A$8:$B$18,2,FALSE),'2nd Innings'!$D$26:$N$36,7,FALSE)</f>
        <v>#N/A</v>
      </c>
      <c r="X121" s="110" t="e">
        <f>VLOOKUP(VLOOKUP(1,$A$8:$B$18,2,FALSE),'2nd Innings'!$D$26:$N$36,10,FALSE)</f>
        <v>#N/A</v>
      </c>
      <c r="Y121" s="110" t="e">
        <f>VLOOKUP(VLOOKUP(1,$A$8:$B$18,2,FALSE),'2nd Innings'!$D$26:$N$36,11,FALSE)</f>
        <v>#N/A</v>
      </c>
      <c r="Z121" s="110">
        <f t="shared" ref="Z121:Z142" si="6">COUNTIF(F121,"&gt;49")-AA121</f>
        <v>0</v>
      </c>
      <c r="AA121" s="110">
        <f>COUNTIF(F121,"&gt;99")</f>
        <v>0</v>
      </c>
      <c r="AB121" s="110">
        <f>COUNTIF(U121,"&gt;2")-AC121</f>
        <v>0</v>
      </c>
      <c r="AC121" s="110">
        <f>COUNTIF(U121,"&gt;4")</f>
        <v>0</v>
      </c>
      <c r="AD121" s="111" t="e">
        <f t="shared" ref="AD121:AD142" si="7">F121*((AK121)/$P$26)/$P$29</f>
        <v>#DIV/0!</v>
      </c>
      <c r="AE121" s="111" t="e">
        <f>AD121*200/$AD$143</f>
        <v>#DIV/0!</v>
      </c>
      <c r="AF121" s="112" t="e">
        <f>AE121+(10*Z121)+(25*AA121)</f>
        <v>#DIV/0!</v>
      </c>
      <c r="AG121" s="113" t="e">
        <f t="shared" ref="AG121:AG142" si="8">AQ121+(10*AB121)+(25*AC121)</f>
        <v>#N/A</v>
      </c>
      <c r="AH121" s="114">
        <f t="shared" ref="AH121:AH142" si="9">10*(O121+P121)+(25*Q121)</f>
        <v>0</v>
      </c>
      <c r="AI121" s="115" t="e">
        <f>SUM(AF121:AH121)+2*COUNTIFS(AS121,"=1",AR121,"=W")+2*COUNTIFS(AR121,"W")+COUNTIFS(AR121,"T")</f>
        <v>#DIV/0!</v>
      </c>
      <c r="AJ121" s="111" t="e">
        <f>100*F121/G121</f>
        <v>#DIV/0!</v>
      </c>
      <c r="AK121" s="111" t="e">
        <f>$P$26-(($P$26-AJ121)/2)</f>
        <v>#DIV/0!</v>
      </c>
      <c r="AL121" s="116" t="e">
        <f t="shared" ref="AL121:AL142" si="10">U121</f>
        <v>#N/A</v>
      </c>
      <c r="AM121" s="116" t="e">
        <f>AL121*8</f>
        <v>#N/A</v>
      </c>
      <c r="AN121" s="117" t="e">
        <f>T121/R121</f>
        <v>#N/A</v>
      </c>
      <c r="AO121" s="117" t="e">
        <f>(1-NORMDIST(AN121,$P$32,($P$32/4),TRUE))*(R121/($E$37+'2nd Innings'!$E$37))</f>
        <v>#N/A</v>
      </c>
      <c r="AP121" s="116" t="e">
        <f>(AO121/AO$143)*(200-(8*($H$37+'2nd Innings'!$H$37)))</f>
        <v>#N/A</v>
      </c>
      <c r="AQ121" s="111" t="e">
        <f t="shared" ref="AQ121:AQ142" si="11">AP121+AM121</f>
        <v>#N/A</v>
      </c>
      <c r="AR121" s="110">
        <f>$F$22</f>
        <v>0</v>
      </c>
      <c r="AS121" s="118">
        <f>IF(A121='2nd Innings'!$C$34,1,0)</f>
        <v>1</v>
      </c>
      <c r="AT121" s="166">
        <f>B$3</f>
        <v>0</v>
      </c>
      <c r="AU121" s="110">
        <f>COUNTIFS('2nd Innings'!$C$8:$C$18,"caught WK",'2nd Innings'!$D$8:$D$18,VLOOKUP(1,$A$8:$B$18,2,FALSE))+N121</f>
        <v>0</v>
      </c>
      <c r="AV121" s="57"/>
      <c r="AW121" s="57"/>
      <c r="AX121" s="57"/>
      <c r="AY121" s="57"/>
      <c r="AZ121" s="57"/>
      <c r="BA121" s="57"/>
      <c r="BB121" s="57"/>
      <c r="BC121" s="57"/>
      <c r="BD121" s="57"/>
      <c r="BE121" s="57"/>
      <c r="BF121" s="57"/>
      <c r="BG121" s="57"/>
      <c r="BH121" s="57"/>
      <c r="BI121" s="57"/>
      <c r="BJ121" s="57"/>
      <c r="BK121" s="57"/>
      <c r="BL121" s="57"/>
      <c r="BM121" s="57"/>
      <c r="BN121" s="57"/>
      <c r="BO121" s="57"/>
      <c r="BP121" s="57"/>
      <c r="BQ121" s="57"/>
      <c r="BR121" s="57"/>
      <c r="BS121" s="57"/>
      <c r="BT121" s="57"/>
    </row>
    <row r="122" spans="1:72" x14ac:dyDescent="0.25">
      <c r="A122" s="140">
        <f t="shared" ref="A122:A131" si="12">B9</f>
        <v>0</v>
      </c>
      <c r="B122" s="116">
        <f t="shared" ref="B122:B131" si="13">A9</f>
        <v>2</v>
      </c>
      <c r="C122" s="116">
        <v>1</v>
      </c>
      <c r="D122" s="116">
        <f t="shared" ref="D122:D131" si="14">1-COUNTBLANK(C9)</f>
        <v>0</v>
      </c>
      <c r="E122" s="116">
        <f t="shared" ref="E122:E131" si="15">COUNTIF(C9,"not out")</f>
        <v>0</v>
      </c>
      <c r="F122" s="116">
        <f t="shared" ref="F122:G122" si="16">F9</f>
        <v>0</v>
      </c>
      <c r="G122" s="116">
        <f t="shared" si="16"/>
        <v>0</v>
      </c>
      <c r="H122" s="141">
        <f t="shared" ref="H122:J122" si="17">I9</f>
        <v>0</v>
      </c>
      <c r="I122" s="116">
        <f t="shared" si="17"/>
        <v>0</v>
      </c>
      <c r="J122" s="116">
        <f t="shared" si="17"/>
        <v>0</v>
      </c>
      <c r="K122" s="110">
        <f>SUMIF(O$8:O$18,VLOOKUP(2,A$8:B$18,2,FALSE),Q$8:Q$18)+SUMIF(P$8:P$18,VLOOKUP(2,A$8:B$18,2,FALSE),Q$8:Q$18)</f>
        <v>0</v>
      </c>
      <c r="L122" s="110">
        <f>COUNTIFS('2nd Innings'!$C$8:$C$18,"caught",'2nd Innings'!$D$8:$D$18,VLOOKUP(2,$A$8:$B$18,2,FALSE))+COUNTIFS('2nd Innings'!$C$8:$C$18,"caught WK",'2nd Innings'!$D$8:$D$18,VLOOKUP(2,$A$8:$B$18,2,FALSE))</f>
        <v>0</v>
      </c>
      <c r="M122" s="110">
        <f>COUNTIFS('2nd Innings'!$C$8:$C$18,"Run Out",'2nd Innings'!$D$8:$D$18,VLOOKUP(2,$A$8:$B$18,2,FALSE))</f>
        <v>0</v>
      </c>
      <c r="N122" s="110">
        <f>COUNTIFS('2nd Innings'!$C$8:$C$18,"Stumped",'2nd Innings'!$D$8:$D$18,VLOOKUP(2,$A$8:$B$18,2,FALSE))</f>
        <v>0</v>
      </c>
      <c r="O122" s="110">
        <f t="shared" ref="O122:O142" si="18">SUM(L122:N122)</f>
        <v>0</v>
      </c>
      <c r="P122" s="110">
        <f t="shared" si="5"/>
        <v>0</v>
      </c>
      <c r="Q122" s="110">
        <f t="shared" ref="Q122:Q142" si="19">COUNTIF(O122,"&gt;4")</f>
        <v>0</v>
      </c>
      <c r="R122" s="110" t="e">
        <f>VLOOKUP(VLOOKUP(2,$A$8:$B$18,2,FALSE),'2nd Innings'!$D$26:$N$36,2,FALSE)</f>
        <v>#N/A</v>
      </c>
      <c r="S122" s="110" t="e">
        <f>VLOOKUP(VLOOKUP(2,$A$8:$B$18,2,FALSE),'2nd Innings'!$D$26:$N$36,3,FALSE)</f>
        <v>#N/A</v>
      </c>
      <c r="T122" s="110" t="e">
        <f>VLOOKUP(VLOOKUP(2,$A$8:$B$18,2,FALSE),'2nd Innings'!$D$26:$N$36,4,FALSE)</f>
        <v>#N/A</v>
      </c>
      <c r="U122" s="110" t="e">
        <f>VLOOKUP(VLOOKUP(2,$A$8:$B$18,2,FALSE),'2nd Innings'!$D$26:$N$36,5,FALSE)</f>
        <v>#N/A</v>
      </c>
      <c r="V122" s="110" t="e">
        <f>VLOOKUP(VLOOKUP(2,$A$8:$B$18,2,FALSE),'2nd Innings'!$D$26:$N$36,6,FALSE)</f>
        <v>#N/A</v>
      </c>
      <c r="W122" s="110" t="e">
        <f>VLOOKUP(VLOOKUP(2,$A$8:$B$18,2,FALSE),'2nd Innings'!$D$26:$N$36,7,FALSE)</f>
        <v>#N/A</v>
      </c>
      <c r="X122" s="110" t="e">
        <f>VLOOKUP(VLOOKUP(2,$A$8:$B$18,2,FALSE),'2nd Innings'!$D$26:$N$36,10,FALSE)</f>
        <v>#N/A</v>
      </c>
      <c r="Y122" s="110" t="e">
        <f>VLOOKUP(VLOOKUP(2,$A$8:$B$18,2,FALSE),'2nd Innings'!$D$26:$N$36,11,FALSE)</f>
        <v>#N/A</v>
      </c>
      <c r="Z122" s="110">
        <f t="shared" si="6"/>
        <v>0</v>
      </c>
      <c r="AA122" s="110">
        <f t="shared" ref="AA122:AA142" si="20">COUNTIF(F122,"&gt;99")</f>
        <v>0</v>
      </c>
      <c r="AB122" s="110">
        <f t="shared" ref="AB122:AB142" si="21">COUNTIF(U122,"&gt;2")-AC122</f>
        <v>0</v>
      </c>
      <c r="AC122" s="110">
        <f t="shared" ref="AC122:AC142" si="22">COUNTIF(U122,"&gt;4")</f>
        <v>0</v>
      </c>
      <c r="AD122" s="111" t="e">
        <f t="shared" si="7"/>
        <v>#DIV/0!</v>
      </c>
      <c r="AE122" s="111" t="e">
        <f t="shared" ref="AE122:AE142" si="23">AD122*200/$AD$143</f>
        <v>#DIV/0!</v>
      </c>
      <c r="AF122" s="112" t="e">
        <f t="shared" ref="AF122:AF142" si="24">AE122+(10*Z122)+(25*AA122)</f>
        <v>#DIV/0!</v>
      </c>
      <c r="AG122" s="113" t="e">
        <f t="shared" si="8"/>
        <v>#N/A</v>
      </c>
      <c r="AH122" s="114">
        <f t="shared" si="9"/>
        <v>0</v>
      </c>
      <c r="AI122" s="115" t="e">
        <f t="shared" ref="AI122:AI142" si="25">SUM(AF122:AH122)+2*COUNTIFS(AS122,"=1",AR122,"=W")+2*COUNTIFS(AR122,"W")+COUNTIFS(AR122,"T")</f>
        <v>#DIV/0!</v>
      </c>
      <c r="AJ122" s="111" t="e">
        <f t="shared" ref="AJ122:AJ142" si="26">100*F122/G122</f>
        <v>#DIV/0!</v>
      </c>
      <c r="AK122" s="111" t="e">
        <f t="shared" ref="AK122:AK142" si="27">$P$26-(($P$26-AJ122)/2)</f>
        <v>#DIV/0!</v>
      </c>
      <c r="AL122" s="116" t="e">
        <f t="shared" si="10"/>
        <v>#N/A</v>
      </c>
      <c r="AM122" s="116" t="e">
        <f>AL122*8</f>
        <v>#N/A</v>
      </c>
      <c r="AN122" s="117" t="e">
        <f>T122/R122</f>
        <v>#N/A</v>
      </c>
      <c r="AO122" s="117" t="e">
        <f>(1-NORMDIST(AN122,$P$32,($P$32/4),TRUE))*(R122/($E$37+'2nd Innings'!$E$37))</f>
        <v>#N/A</v>
      </c>
      <c r="AP122" s="116" t="e">
        <f>(AO122/AO$143)*(200-(8*($H$37+'2nd Innings'!$H$37)))</f>
        <v>#N/A</v>
      </c>
      <c r="AQ122" s="111" t="e">
        <f t="shared" si="11"/>
        <v>#N/A</v>
      </c>
      <c r="AR122" s="110">
        <f t="shared" ref="AR122:AR131" si="28">$F$22</f>
        <v>0</v>
      </c>
      <c r="AS122" s="118">
        <f>IF(A122='2nd Innings'!$C$34,1,0)</f>
        <v>1</v>
      </c>
      <c r="AT122" s="166">
        <f t="shared" ref="AT122:AT131" si="29">B$3</f>
        <v>0</v>
      </c>
      <c r="AU122" s="110">
        <f>COUNTIFS('2nd Innings'!$C$8:$C$18,"caught WK",'2nd Innings'!$D$8:$D$18,VLOOKUP(2,$A$8:$B$18,2,FALSE))+N122</f>
        <v>0</v>
      </c>
      <c r="AV122" s="57"/>
      <c r="AW122" s="57"/>
      <c r="AX122" s="57"/>
      <c r="AY122" s="57"/>
      <c r="AZ122" s="57"/>
      <c r="BA122" s="57"/>
      <c r="BB122" s="57"/>
      <c r="BC122" s="57"/>
      <c r="BD122" s="57"/>
      <c r="BE122" s="57"/>
      <c r="BF122" s="57"/>
      <c r="BG122" s="57"/>
      <c r="BH122" s="57"/>
      <c r="BI122" s="57"/>
      <c r="BJ122" s="57"/>
      <c r="BK122" s="57"/>
      <c r="BL122" s="57"/>
      <c r="BM122" s="57"/>
      <c r="BN122" s="57"/>
      <c r="BO122" s="57"/>
      <c r="BP122" s="57"/>
      <c r="BQ122" s="57"/>
      <c r="BR122" s="57"/>
      <c r="BS122" s="57"/>
      <c r="BT122" s="57"/>
    </row>
    <row r="123" spans="1:72" x14ac:dyDescent="0.25">
      <c r="A123" s="140">
        <f t="shared" si="12"/>
        <v>0</v>
      </c>
      <c r="B123" s="116">
        <f t="shared" si="13"/>
        <v>3</v>
      </c>
      <c r="C123" s="116">
        <v>1</v>
      </c>
      <c r="D123" s="116">
        <f t="shared" si="14"/>
        <v>0</v>
      </c>
      <c r="E123" s="116">
        <f t="shared" si="15"/>
        <v>0</v>
      </c>
      <c r="F123" s="116">
        <f t="shared" ref="F123:G123" si="30">F10</f>
        <v>0</v>
      </c>
      <c r="G123" s="116">
        <f t="shared" si="30"/>
        <v>0</v>
      </c>
      <c r="H123" s="141">
        <f t="shared" ref="H123:J123" si="31">I10</f>
        <v>0</v>
      </c>
      <c r="I123" s="116">
        <f t="shared" si="31"/>
        <v>0</v>
      </c>
      <c r="J123" s="116">
        <f t="shared" si="31"/>
        <v>0</v>
      </c>
      <c r="K123" s="110">
        <f>SUMIF(O$8:O$18,VLOOKUP(3,A$8:B$18,2,FALSE),Q$8:Q$18)+SUMIF(P$8:P$18,VLOOKUP(3,A$8:B$18,2,FALSE),Q$8:Q$18)</f>
        <v>0</v>
      </c>
      <c r="L123" s="110">
        <f>COUNTIFS('2nd Innings'!$C$8:$C$18,"caught",'2nd Innings'!$D$8:$D$18,VLOOKUP(3,$A$8:$B$18,2,FALSE))+COUNTIFS('2nd Innings'!$C$8:$C$18,"caught WK",'2nd Innings'!$D$8:$D$18,VLOOKUP(3,$A$8:$B$18,2,FALSE))</f>
        <v>0</v>
      </c>
      <c r="M123" s="110">
        <f>COUNTIFS('2nd Innings'!$C$8:$C$18,"Run Out",'2nd Innings'!$D$8:$D$18,VLOOKUP(3,$A$8:$B$18,2,FALSE))</f>
        <v>0</v>
      </c>
      <c r="N123" s="110">
        <f>COUNTIFS('2nd Innings'!$C$8:$C$18,"Stumped",'2nd Innings'!$D$8:$D$18,VLOOKUP(3,$A$8:$B$18,2,FALSE))</f>
        <v>0</v>
      </c>
      <c r="O123" s="110">
        <f t="shared" si="18"/>
        <v>0</v>
      </c>
      <c r="P123" s="110">
        <f t="shared" si="5"/>
        <v>0</v>
      </c>
      <c r="Q123" s="110">
        <f t="shared" si="19"/>
        <v>0</v>
      </c>
      <c r="R123" s="110" t="e">
        <f>VLOOKUP(VLOOKUP(3,$A$8:$B$18,2,FALSE),'2nd Innings'!$D$26:$N$36,2,FALSE)</f>
        <v>#N/A</v>
      </c>
      <c r="S123" s="110" t="e">
        <f>VLOOKUP(VLOOKUP(3,$A$8:$B$18,2,FALSE),'2nd Innings'!$D$26:$N$36,3,FALSE)</f>
        <v>#N/A</v>
      </c>
      <c r="T123" s="110" t="e">
        <f>VLOOKUP(VLOOKUP(3,$A$8:$B$18,2,FALSE),'2nd Innings'!$D$26:$N$36,4,FALSE)</f>
        <v>#N/A</v>
      </c>
      <c r="U123" s="110" t="e">
        <f>VLOOKUP(VLOOKUP(3,$A$8:$B$18,2,FALSE),'2nd Innings'!$D$26:$N$36,5,FALSE)</f>
        <v>#N/A</v>
      </c>
      <c r="V123" s="110" t="e">
        <f>VLOOKUP(VLOOKUP(3,$A$8:$B$18,2,FALSE),'2nd Innings'!$D$26:$N$36,6,FALSE)</f>
        <v>#N/A</v>
      </c>
      <c r="W123" s="110" t="e">
        <f>VLOOKUP(VLOOKUP(3,$A$8:$B$18,2,FALSE),'2nd Innings'!$D$26:$N$36,7,FALSE)</f>
        <v>#N/A</v>
      </c>
      <c r="X123" s="110" t="e">
        <f>VLOOKUP(VLOOKUP(3,$A$8:$B$18,2,FALSE),'2nd Innings'!$D$26:$N$36,10,FALSE)</f>
        <v>#N/A</v>
      </c>
      <c r="Y123" s="110" t="e">
        <f>VLOOKUP(VLOOKUP(3,$A$8:$B$18,2,FALSE),'2nd Innings'!$D$26:$N$36,11,FALSE)</f>
        <v>#N/A</v>
      </c>
      <c r="Z123" s="110">
        <f t="shared" si="6"/>
        <v>0</v>
      </c>
      <c r="AA123" s="110">
        <f t="shared" si="20"/>
        <v>0</v>
      </c>
      <c r="AB123" s="110">
        <f t="shared" si="21"/>
        <v>0</v>
      </c>
      <c r="AC123" s="110">
        <f t="shared" si="22"/>
        <v>0</v>
      </c>
      <c r="AD123" s="111" t="e">
        <f t="shared" si="7"/>
        <v>#DIV/0!</v>
      </c>
      <c r="AE123" s="111" t="e">
        <f t="shared" si="23"/>
        <v>#DIV/0!</v>
      </c>
      <c r="AF123" s="112" t="e">
        <f t="shared" si="24"/>
        <v>#DIV/0!</v>
      </c>
      <c r="AG123" s="113" t="e">
        <f t="shared" si="8"/>
        <v>#N/A</v>
      </c>
      <c r="AH123" s="114">
        <f t="shared" si="9"/>
        <v>0</v>
      </c>
      <c r="AI123" s="115" t="e">
        <f t="shared" si="25"/>
        <v>#DIV/0!</v>
      </c>
      <c r="AJ123" s="111" t="e">
        <f t="shared" si="26"/>
        <v>#DIV/0!</v>
      </c>
      <c r="AK123" s="111" t="e">
        <f t="shared" si="27"/>
        <v>#DIV/0!</v>
      </c>
      <c r="AL123" s="116" t="e">
        <f t="shared" si="10"/>
        <v>#N/A</v>
      </c>
      <c r="AM123" s="116" t="e">
        <f t="shared" ref="AM123:AM142" si="32">AL123*8</f>
        <v>#N/A</v>
      </c>
      <c r="AN123" s="117" t="e">
        <f t="shared" ref="AN123:AN142" si="33">T123/R123</f>
        <v>#N/A</v>
      </c>
      <c r="AO123" s="117" t="e">
        <f>(1-NORMDIST(AN123,$P$32,($P$32/4),TRUE))*(R123/($E$37+'2nd Innings'!$E$37))</f>
        <v>#N/A</v>
      </c>
      <c r="AP123" s="116" t="e">
        <f>(AO123/AO$143)*(200-(8*($H$37+'2nd Innings'!$H$37)))</f>
        <v>#N/A</v>
      </c>
      <c r="AQ123" s="111" t="e">
        <f t="shared" si="11"/>
        <v>#N/A</v>
      </c>
      <c r="AR123" s="110">
        <f t="shared" si="28"/>
        <v>0</v>
      </c>
      <c r="AS123" s="118">
        <f>IF(A123='2nd Innings'!$C$34,1,0)</f>
        <v>1</v>
      </c>
      <c r="AT123" s="166">
        <f t="shared" si="29"/>
        <v>0</v>
      </c>
      <c r="AU123" s="110">
        <f>COUNTIFS('2nd Innings'!$C$8:$C$18,"caught WK",'2nd Innings'!$D$8:$D$18,VLOOKUP(3,$A$8:$B$18,2,FALSE))+N123</f>
        <v>0</v>
      </c>
      <c r="AV123" s="57"/>
      <c r="AW123" s="57"/>
      <c r="AX123" s="57"/>
      <c r="AY123" s="57"/>
      <c r="AZ123" s="57"/>
      <c r="BA123" s="57"/>
      <c r="BB123" s="57"/>
      <c r="BC123" s="57"/>
      <c r="BD123" s="57"/>
      <c r="BE123" s="57"/>
      <c r="BF123" s="57"/>
      <c r="BG123" s="57"/>
      <c r="BH123" s="57"/>
      <c r="BI123" s="57"/>
      <c r="BJ123" s="57"/>
      <c r="BK123" s="57"/>
      <c r="BL123" s="57"/>
      <c r="BM123" s="57"/>
      <c r="BN123" s="57"/>
      <c r="BO123" s="57"/>
      <c r="BP123" s="57"/>
      <c r="BQ123" s="57"/>
      <c r="BR123" s="57"/>
      <c r="BS123" s="57"/>
      <c r="BT123" s="57"/>
    </row>
    <row r="124" spans="1:72" x14ac:dyDescent="0.25">
      <c r="A124" s="140">
        <f t="shared" si="12"/>
        <v>0</v>
      </c>
      <c r="B124" s="116">
        <f t="shared" si="13"/>
        <v>4</v>
      </c>
      <c r="C124" s="116">
        <v>1</v>
      </c>
      <c r="D124" s="116">
        <f t="shared" si="14"/>
        <v>0</v>
      </c>
      <c r="E124" s="116">
        <f t="shared" si="15"/>
        <v>0</v>
      </c>
      <c r="F124" s="116">
        <f t="shared" ref="F124:G124" si="34">F11</f>
        <v>0</v>
      </c>
      <c r="G124" s="116">
        <f t="shared" si="34"/>
        <v>0</v>
      </c>
      <c r="H124" s="141">
        <f t="shared" ref="H124:J124" si="35">I11</f>
        <v>0</v>
      </c>
      <c r="I124" s="116">
        <f t="shared" si="35"/>
        <v>0</v>
      </c>
      <c r="J124" s="116">
        <f t="shared" si="35"/>
        <v>0</v>
      </c>
      <c r="K124" s="110">
        <f>SUMIF(O$8:O$18,VLOOKUP(4,A$8:B$18,2,FALSE),Q$8:Q$18)+SUMIF(P$8:P$18,VLOOKUP(4,A$8:B$18,2,FALSE),Q$8:Q$18)</f>
        <v>0</v>
      </c>
      <c r="L124" s="110">
        <f>COUNTIFS('2nd Innings'!$C$8:$C$18,"caught",'2nd Innings'!$D$8:$D$18,VLOOKUP(4,$A$8:$B$18,2,FALSE))+COUNTIFS('2nd Innings'!$C$8:$C$18,"caught WK",'2nd Innings'!$D$8:$D$18,VLOOKUP(4,$A$8:$B$18,2,FALSE))</f>
        <v>0</v>
      </c>
      <c r="M124" s="110">
        <f>COUNTIFS('2nd Innings'!$C$8:$C$18,"Run Out",'2nd Innings'!$D$8:$D$18,VLOOKUP(4,$A$8:$B$18,2,FALSE))</f>
        <v>0</v>
      </c>
      <c r="N124" s="110">
        <f>COUNTIFS('2nd Innings'!$C$8:$C$18,"Stumped",'2nd Innings'!$D$8:$D$18,VLOOKUP(4,$A$8:$B$18,2,FALSE))</f>
        <v>0</v>
      </c>
      <c r="O124" s="110">
        <f t="shared" si="18"/>
        <v>0</v>
      </c>
      <c r="P124" s="110">
        <f t="shared" si="5"/>
        <v>0</v>
      </c>
      <c r="Q124" s="110">
        <f t="shared" si="19"/>
        <v>0</v>
      </c>
      <c r="R124" s="110" t="e">
        <f>VLOOKUP(VLOOKUP(4,$A$8:$B$18,2,FALSE),'2nd Innings'!$D$26:$N$36,2,FALSE)</f>
        <v>#N/A</v>
      </c>
      <c r="S124" s="110" t="e">
        <f>VLOOKUP(VLOOKUP(4,$A$8:$B$18,2,FALSE),'2nd Innings'!$D$26:$N$36,3,FALSE)</f>
        <v>#N/A</v>
      </c>
      <c r="T124" s="110" t="e">
        <f>VLOOKUP(VLOOKUP(4,$A$8:$B$18,2,FALSE),'2nd Innings'!$D$26:$N$36,4,FALSE)</f>
        <v>#N/A</v>
      </c>
      <c r="U124" s="110" t="e">
        <f>VLOOKUP(VLOOKUP(4,$A$8:$B$18,2,FALSE),'2nd Innings'!$D$26:$N$36,5,FALSE)</f>
        <v>#N/A</v>
      </c>
      <c r="V124" s="110" t="e">
        <f>VLOOKUP(VLOOKUP(4,$A$8:$B$18,2,FALSE),'2nd Innings'!$D$26:$N$36,6,FALSE)</f>
        <v>#N/A</v>
      </c>
      <c r="W124" s="110" t="e">
        <f>VLOOKUP(VLOOKUP(4,$A$8:$B$18,2,FALSE),'2nd Innings'!$D$26:$N$36,7,FALSE)</f>
        <v>#N/A</v>
      </c>
      <c r="X124" s="110" t="e">
        <f>VLOOKUP(VLOOKUP(4,$A$8:$B$18,2,FALSE),'2nd Innings'!$D$26:$N$36,10,FALSE)</f>
        <v>#N/A</v>
      </c>
      <c r="Y124" s="110" t="e">
        <f>VLOOKUP(VLOOKUP(4,$A$8:$B$18,2,FALSE),'2nd Innings'!$D$26:$N$36,11,FALSE)</f>
        <v>#N/A</v>
      </c>
      <c r="Z124" s="110">
        <f t="shared" si="6"/>
        <v>0</v>
      </c>
      <c r="AA124" s="110">
        <f t="shared" si="20"/>
        <v>0</v>
      </c>
      <c r="AB124" s="110">
        <f t="shared" si="21"/>
        <v>0</v>
      </c>
      <c r="AC124" s="110">
        <f t="shared" si="22"/>
        <v>0</v>
      </c>
      <c r="AD124" s="111" t="e">
        <f t="shared" si="7"/>
        <v>#DIV/0!</v>
      </c>
      <c r="AE124" s="111" t="e">
        <f t="shared" si="23"/>
        <v>#DIV/0!</v>
      </c>
      <c r="AF124" s="112" t="e">
        <f t="shared" si="24"/>
        <v>#DIV/0!</v>
      </c>
      <c r="AG124" s="113" t="e">
        <f t="shared" si="8"/>
        <v>#N/A</v>
      </c>
      <c r="AH124" s="114">
        <f t="shared" si="9"/>
        <v>0</v>
      </c>
      <c r="AI124" s="115" t="e">
        <f t="shared" si="25"/>
        <v>#DIV/0!</v>
      </c>
      <c r="AJ124" s="111" t="e">
        <f t="shared" si="26"/>
        <v>#DIV/0!</v>
      </c>
      <c r="AK124" s="111" t="e">
        <f t="shared" si="27"/>
        <v>#DIV/0!</v>
      </c>
      <c r="AL124" s="116" t="e">
        <f t="shared" si="10"/>
        <v>#N/A</v>
      </c>
      <c r="AM124" s="116" t="e">
        <f t="shared" si="32"/>
        <v>#N/A</v>
      </c>
      <c r="AN124" s="117" t="e">
        <f t="shared" si="33"/>
        <v>#N/A</v>
      </c>
      <c r="AO124" s="117" t="e">
        <f>(1-NORMDIST(AN124,$P$32,($P$32/4),TRUE))*(R124/($E$37+'2nd Innings'!$E$37))</f>
        <v>#N/A</v>
      </c>
      <c r="AP124" s="116" t="e">
        <f>(AO124/AO$143)*(200-(8*($H$37+'2nd Innings'!$H$37)))</f>
        <v>#N/A</v>
      </c>
      <c r="AQ124" s="111" t="e">
        <f t="shared" si="11"/>
        <v>#N/A</v>
      </c>
      <c r="AR124" s="110">
        <f t="shared" si="28"/>
        <v>0</v>
      </c>
      <c r="AS124" s="118">
        <f>IF(A124='2nd Innings'!$C$34,1,0)</f>
        <v>1</v>
      </c>
      <c r="AT124" s="166">
        <f t="shared" si="29"/>
        <v>0</v>
      </c>
      <c r="AU124" s="110">
        <f>COUNTIFS('2nd Innings'!$C$8:$C$18,"caught WK",'2nd Innings'!$D$8:$D$18,VLOOKUP(4,$A$8:$B$18,2,FALSE))+N124</f>
        <v>0</v>
      </c>
      <c r="AV124" s="57"/>
      <c r="AW124" s="57"/>
      <c r="AX124" s="57"/>
      <c r="AY124" s="57"/>
      <c r="AZ124" s="57"/>
      <c r="BA124" s="57"/>
      <c r="BB124" s="57"/>
      <c r="BC124" s="57"/>
      <c r="BD124" s="57"/>
      <c r="BE124" s="57"/>
      <c r="BF124" s="57"/>
      <c r="BG124" s="57"/>
      <c r="BH124" s="57"/>
      <c r="BI124" s="57"/>
      <c r="BJ124" s="57"/>
      <c r="BK124" s="57"/>
      <c r="BL124" s="57"/>
      <c r="BM124" s="57"/>
      <c r="BN124" s="57"/>
      <c r="BO124" s="57"/>
      <c r="BP124" s="57"/>
      <c r="BQ124" s="57"/>
      <c r="BR124" s="57"/>
      <c r="BS124" s="57"/>
      <c r="BT124" s="57"/>
    </row>
    <row r="125" spans="1:72" x14ac:dyDescent="0.25">
      <c r="A125" s="140">
        <f t="shared" si="12"/>
        <v>0</v>
      </c>
      <c r="B125" s="116">
        <f t="shared" si="13"/>
        <v>5</v>
      </c>
      <c r="C125" s="116">
        <v>1</v>
      </c>
      <c r="D125" s="116">
        <f t="shared" si="14"/>
        <v>0</v>
      </c>
      <c r="E125" s="116">
        <f t="shared" si="15"/>
        <v>0</v>
      </c>
      <c r="F125" s="116">
        <f t="shared" ref="F125:G125" si="36">F12</f>
        <v>0</v>
      </c>
      <c r="G125" s="116">
        <f t="shared" si="36"/>
        <v>0</v>
      </c>
      <c r="H125" s="141">
        <f t="shared" ref="H125:J125" si="37">I12</f>
        <v>0</v>
      </c>
      <c r="I125" s="116">
        <f t="shared" si="37"/>
        <v>0</v>
      </c>
      <c r="J125" s="116">
        <f t="shared" si="37"/>
        <v>0</v>
      </c>
      <c r="K125" s="110">
        <f>SUMIF(O$8:O$18,VLOOKUP(5,A$8:B$18,2,FALSE),Q$8:Q$18)+SUMIF(P$8:P$18,VLOOKUP(5,A$8:B$18,2,FALSE),Q$8:Q$18)</f>
        <v>0</v>
      </c>
      <c r="L125" s="110">
        <f>COUNTIFS('2nd Innings'!$C$8:$C$18,"caught",'2nd Innings'!$D$8:$D$18,VLOOKUP(5,$A$8:$B$18,2,FALSE))+COUNTIFS('2nd Innings'!$C$8:$C$18,"caught WK",'2nd Innings'!$D$8:$D$18,VLOOKUP(5,$A$8:$B$18,2,FALSE))</f>
        <v>0</v>
      </c>
      <c r="M125" s="110">
        <f>COUNTIFS('2nd Innings'!$C$8:$C$18,"Run Out",'2nd Innings'!$D$8:$D$18,VLOOKUP(5,$A$8:$B$18,2,FALSE))</f>
        <v>0</v>
      </c>
      <c r="N125" s="110">
        <f>COUNTIFS('2nd Innings'!$C$8:$C$18,"Stumped",'2nd Innings'!$D$8:$D$18,VLOOKUP(5,$A$8:$B$18,2,FALSE))</f>
        <v>0</v>
      </c>
      <c r="O125" s="110">
        <f t="shared" si="18"/>
        <v>0</v>
      </c>
      <c r="P125" s="110">
        <f t="shared" si="5"/>
        <v>0</v>
      </c>
      <c r="Q125" s="110">
        <f t="shared" si="19"/>
        <v>0</v>
      </c>
      <c r="R125" s="110" t="e">
        <f>VLOOKUP(VLOOKUP(5,$A$8:$B$18,2,FALSE),'2nd Innings'!$D$26:$N$36,2,FALSE)</f>
        <v>#N/A</v>
      </c>
      <c r="S125" s="110" t="e">
        <f>VLOOKUP(VLOOKUP(5,$A$8:$B$18,2,FALSE),'2nd Innings'!$D$26:$N$36,3,FALSE)</f>
        <v>#N/A</v>
      </c>
      <c r="T125" s="110" t="e">
        <f>VLOOKUP(VLOOKUP(5,$A$8:$B$18,2,FALSE),'2nd Innings'!$D$26:$N$36,4,FALSE)</f>
        <v>#N/A</v>
      </c>
      <c r="U125" s="110" t="e">
        <f>VLOOKUP(VLOOKUP(5,$A$8:$B$18,2,FALSE),'2nd Innings'!$D$26:$N$36,5,FALSE)</f>
        <v>#N/A</v>
      </c>
      <c r="V125" s="110" t="e">
        <f>VLOOKUP(VLOOKUP(5,$A$8:$B$18,2,FALSE),'2nd Innings'!$D$26:$N$36,6,FALSE)</f>
        <v>#N/A</v>
      </c>
      <c r="W125" s="110" t="e">
        <f>VLOOKUP(VLOOKUP(5,$A$8:$B$18,2,FALSE),'2nd Innings'!$D$26:$N$36,7,FALSE)</f>
        <v>#N/A</v>
      </c>
      <c r="X125" s="110" t="e">
        <f>VLOOKUP(VLOOKUP(5,$A$8:$B$18,2,FALSE),'2nd Innings'!$D$26:$N$36,10,FALSE)</f>
        <v>#N/A</v>
      </c>
      <c r="Y125" s="110" t="e">
        <f>VLOOKUP(VLOOKUP(5,$A$8:$B$18,2,FALSE),'2nd Innings'!$D$26:$N$36,11,FALSE)</f>
        <v>#N/A</v>
      </c>
      <c r="Z125" s="110">
        <f t="shared" si="6"/>
        <v>0</v>
      </c>
      <c r="AA125" s="110">
        <f t="shared" si="20"/>
        <v>0</v>
      </c>
      <c r="AB125" s="110">
        <f t="shared" si="21"/>
        <v>0</v>
      </c>
      <c r="AC125" s="110">
        <f t="shared" si="22"/>
        <v>0</v>
      </c>
      <c r="AD125" s="111" t="e">
        <f t="shared" si="7"/>
        <v>#DIV/0!</v>
      </c>
      <c r="AE125" s="111" t="e">
        <f t="shared" si="23"/>
        <v>#DIV/0!</v>
      </c>
      <c r="AF125" s="112" t="e">
        <f t="shared" si="24"/>
        <v>#DIV/0!</v>
      </c>
      <c r="AG125" s="113" t="e">
        <f t="shared" si="8"/>
        <v>#N/A</v>
      </c>
      <c r="AH125" s="114">
        <f t="shared" si="9"/>
        <v>0</v>
      </c>
      <c r="AI125" s="115" t="e">
        <f t="shared" si="25"/>
        <v>#DIV/0!</v>
      </c>
      <c r="AJ125" s="111" t="e">
        <f t="shared" si="26"/>
        <v>#DIV/0!</v>
      </c>
      <c r="AK125" s="111" t="e">
        <f t="shared" si="27"/>
        <v>#DIV/0!</v>
      </c>
      <c r="AL125" s="116" t="e">
        <f t="shared" si="10"/>
        <v>#N/A</v>
      </c>
      <c r="AM125" s="116" t="e">
        <f t="shared" si="32"/>
        <v>#N/A</v>
      </c>
      <c r="AN125" s="117" t="e">
        <f t="shared" si="33"/>
        <v>#N/A</v>
      </c>
      <c r="AO125" s="117" t="e">
        <f>(1-NORMDIST(AN125,$P$32,($P$32/4),TRUE))*(R125/($E$37+'2nd Innings'!$E$37))</f>
        <v>#N/A</v>
      </c>
      <c r="AP125" s="116" t="e">
        <f>(AO125/AO$143)*(200-(8*($H$37+'2nd Innings'!$H$37)))</f>
        <v>#N/A</v>
      </c>
      <c r="AQ125" s="111" t="e">
        <f t="shared" si="11"/>
        <v>#N/A</v>
      </c>
      <c r="AR125" s="110">
        <f t="shared" si="28"/>
        <v>0</v>
      </c>
      <c r="AS125" s="118">
        <f>IF(A125='2nd Innings'!$C$34,1,0)</f>
        <v>1</v>
      </c>
      <c r="AT125" s="166">
        <f t="shared" si="29"/>
        <v>0</v>
      </c>
      <c r="AU125" s="110">
        <f>COUNTIFS('2nd Innings'!$C$8:$C$18,"caught WK",'2nd Innings'!$D$8:$D$18,VLOOKUP(5,$A$8:$B$18,2,FALSE))+N125</f>
        <v>0</v>
      </c>
      <c r="AV125" s="57"/>
      <c r="AW125" s="57"/>
      <c r="AX125" s="57"/>
      <c r="AY125" s="57"/>
      <c r="AZ125" s="57"/>
      <c r="BA125" s="57"/>
      <c r="BB125" s="57"/>
      <c r="BC125" s="57"/>
      <c r="BD125" s="57"/>
      <c r="BE125" s="57"/>
      <c r="BF125" s="57"/>
      <c r="BG125" s="57"/>
      <c r="BH125" s="57"/>
      <c r="BI125" s="57"/>
      <c r="BJ125" s="57"/>
      <c r="BK125" s="57"/>
      <c r="BL125" s="57"/>
      <c r="BM125" s="57"/>
      <c r="BN125" s="57"/>
      <c r="BO125" s="57"/>
      <c r="BP125" s="57"/>
      <c r="BQ125" s="57"/>
      <c r="BR125" s="57"/>
      <c r="BS125" s="57"/>
      <c r="BT125" s="57"/>
    </row>
    <row r="126" spans="1:72" x14ac:dyDescent="0.25">
      <c r="A126" s="140">
        <f t="shared" si="12"/>
        <v>0</v>
      </c>
      <c r="B126" s="116">
        <f t="shared" si="13"/>
        <v>6</v>
      </c>
      <c r="C126" s="116">
        <v>1</v>
      </c>
      <c r="D126" s="116">
        <f t="shared" si="14"/>
        <v>0</v>
      </c>
      <c r="E126" s="116">
        <f t="shared" si="15"/>
        <v>0</v>
      </c>
      <c r="F126" s="116">
        <f t="shared" ref="F126:G126" si="38">F13</f>
        <v>0</v>
      </c>
      <c r="G126" s="116">
        <f t="shared" si="38"/>
        <v>0</v>
      </c>
      <c r="H126" s="141">
        <f t="shared" ref="H126:J126" si="39">I13</f>
        <v>0</v>
      </c>
      <c r="I126" s="116">
        <f t="shared" si="39"/>
        <v>0</v>
      </c>
      <c r="J126" s="116">
        <f t="shared" si="39"/>
        <v>0</v>
      </c>
      <c r="K126" s="110">
        <f>SUMIF(O$8:O$18,VLOOKUP(6,A$8:B$18,2,FALSE),Q$8:Q$18)+SUMIF(P$8:P$18,VLOOKUP(6,A$8:B$18,2,FALSE),Q$8:Q$18)</f>
        <v>0</v>
      </c>
      <c r="L126" s="110">
        <f>COUNTIFS('2nd Innings'!$C$8:$C$18,"caught",'2nd Innings'!$D$8:$D$18,VLOOKUP(6,$A$8:$B$18,2,FALSE))+COUNTIFS('2nd Innings'!$C$8:$C$18,"caught WK",'2nd Innings'!$D$8:$D$18,VLOOKUP(6,$A$8:$B$18,2,FALSE))</f>
        <v>0</v>
      </c>
      <c r="M126" s="110">
        <f>COUNTIFS('2nd Innings'!$C$8:$C$18,"Run Out",'2nd Innings'!$D$8:$D$18,VLOOKUP(6,$A$8:$B$18,2,FALSE))</f>
        <v>0</v>
      </c>
      <c r="N126" s="110">
        <f>COUNTIFS('2nd Innings'!$C$8:$C$18,"Stumped",'2nd Innings'!$D$8:$D$18,VLOOKUP(6,$A$8:$B$18,2,FALSE))</f>
        <v>0</v>
      </c>
      <c r="O126" s="110">
        <f t="shared" si="18"/>
        <v>0</v>
      </c>
      <c r="P126" s="110">
        <f t="shared" si="5"/>
        <v>0</v>
      </c>
      <c r="Q126" s="110">
        <f t="shared" si="19"/>
        <v>0</v>
      </c>
      <c r="R126" s="110" t="e">
        <f>VLOOKUP(VLOOKUP(6,$A$8:$B$18,2,FALSE),'2nd Innings'!$D$26:$N$36,2,FALSE)</f>
        <v>#N/A</v>
      </c>
      <c r="S126" s="110" t="e">
        <f>VLOOKUP(VLOOKUP(6,$A$8:$B$18,2,FALSE),'2nd Innings'!$D$26:$N$36,3,FALSE)</f>
        <v>#N/A</v>
      </c>
      <c r="T126" s="110" t="e">
        <f>VLOOKUP(VLOOKUP(6,$A$8:$B$18,2,FALSE),'2nd Innings'!$D$26:$N$36,4,FALSE)</f>
        <v>#N/A</v>
      </c>
      <c r="U126" s="110" t="e">
        <f>VLOOKUP(VLOOKUP(6,$A$8:$B$18,2,FALSE),'2nd Innings'!$D$26:$N$36,5,FALSE)</f>
        <v>#N/A</v>
      </c>
      <c r="V126" s="110" t="e">
        <f>VLOOKUP(VLOOKUP(6,$A$8:$B$18,2,FALSE),'2nd Innings'!$D$26:$N$36,6,FALSE)</f>
        <v>#N/A</v>
      </c>
      <c r="W126" s="110" t="e">
        <f>VLOOKUP(VLOOKUP(6,$A$8:$B$18,2,FALSE),'2nd Innings'!$D$26:$N$36,7,FALSE)</f>
        <v>#N/A</v>
      </c>
      <c r="X126" s="110" t="e">
        <f>VLOOKUP(VLOOKUP(6,$A$8:$B$18,2,FALSE),'2nd Innings'!$D$26:$N$36,10,FALSE)</f>
        <v>#N/A</v>
      </c>
      <c r="Y126" s="110" t="e">
        <f>VLOOKUP(VLOOKUP(6,$A$8:$B$18,2,FALSE),'2nd Innings'!$D$26:$N$36,11,FALSE)</f>
        <v>#N/A</v>
      </c>
      <c r="Z126" s="110">
        <f t="shared" si="6"/>
        <v>0</v>
      </c>
      <c r="AA126" s="110">
        <f t="shared" si="20"/>
        <v>0</v>
      </c>
      <c r="AB126" s="110">
        <f t="shared" si="21"/>
        <v>0</v>
      </c>
      <c r="AC126" s="110">
        <f t="shared" si="22"/>
        <v>0</v>
      </c>
      <c r="AD126" s="111" t="e">
        <f t="shared" si="7"/>
        <v>#DIV/0!</v>
      </c>
      <c r="AE126" s="111" t="e">
        <f t="shared" si="23"/>
        <v>#DIV/0!</v>
      </c>
      <c r="AF126" s="112" t="e">
        <f t="shared" si="24"/>
        <v>#DIV/0!</v>
      </c>
      <c r="AG126" s="113" t="e">
        <f t="shared" si="8"/>
        <v>#N/A</v>
      </c>
      <c r="AH126" s="114">
        <f t="shared" si="9"/>
        <v>0</v>
      </c>
      <c r="AI126" s="115" t="e">
        <f t="shared" si="25"/>
        <v>#DIV/0!</v>
      </c>
      <c r="AJ126" s="111" t="e">
        <f t="shared" si="26"/>
        <v>#DIV/0!</v>
      </c>
      <c r="AK126" s="111" t="e">
        <f t="shared" si="27"/>
        <v>#DIV/0!</v>
      </c>
      <c r="AL126" s="116" t="e">
        <f t="shared" si="10"/>
        <v>#N/A</v>
      </c>
      <c r="AM126" s="116" t="e">
        <f t="shared" si="32"/>
        <v>#N/A</v>
      </c>
      <c r="AN126" s="117" t="e">
        <f t="shared" si="33"/>
        <v>#N/A</v>
      </c>
      <c r="AO126" s="117" t="e">
        <f>(1-NORMDIST(AN126,$P$32,($P$32/4),TRUE))*(R126/($E$37+'2nd Innings'!$E$37))</f>
        <v>#N/A</v>
      </c>
      <c r="AP126" s="116" t="e">
        <f>(AO126/AO$143)*(200-(8*($H$37+'2nd Innings'!$H$37)))</f>
        <v>#N/A</v>
      </c>
      <c r="AQ126" s="111" t="e">
        <f t="shared" si="11"/>
        <v>#N/A</v>
      </c>
      <c r="AR126" s="110">
        <f t="shared" si="28"/>
        <v>0</v>
      </c>
      <c r="AS126" s="118">
        <f>IF(A126='2nd Innings'!$C$34,1,0)</f>
        <v>1</v>
      </c>
      <c r="AT126" s="166">
        <f t="shared" si="29"/>
        <v>0</v>
      </c>
      <c r="AU126" s="110">
        <f>COUNTIFS('2nd Innings'!$C$8:$C$18,"caught WK",'2nd Innings'!$D$8:$D$18,VLOOKUP(6,$A$8:$B$18,2,FALSE))+N126</f>
        <v>0</v>
      </c>
      <c r="AV126" s="57"/>
      <c r="AW126" s="57"/>
      <c r="AX126" s="57"/>
      <c r="AY126" s="57"/>
      <c r="AZ126" s="57"/>
      <c r="BA126" s="57"/>
      <c r="BB126" s="57"/>
      <c r="BC126" s="57"/>
      <c r="BD126" s="57"/>
      <c r="BE126" s="57"/>
      <c r="BF126" s="57"/>
      <c r="BG126" s="57"/>
      <c r="BH126" s="57"/>
      <c r="BI126" s="57"/>
      <c r="BJ126" s="57"/>
      <c r="BK126" s="57"/>
      <c r="BL126" s="57"/>
      <c r="BM126" s="57"/>
      <c r="BN126" s="57"/>
      <c r="BO126" s="57"/>
      <c r="BP126" s="57"/>
      <c r="BQ126" s="57"/>
      <c r="BR126" s="57"/>
      <c r="BS126" s="57"/>
      <c r="BT126" s="57"/>
    </row>
    <row r="127" spans="1:72" x14ac:dyDescent="0.25">
      <c r="A127" s="140">
        <f t="shared" si="12"/>
        <v>0</v>
      </c>
      <c r="B127" s="116">
        <f t="shared" si="13"/>
        <v>7</v>
      </c>
      <c r="C127" s="116">
        <v>1</v>
      </c>
      <c r="D127" s="116">
        <f t="shared" si="14"/>
        <v>0</v>
      </c>
      <c r="E127" s="116">
        <f t="shared" si="15"/>
        <v>0</v>
      </c>
      <c r="F127" s="116">
        <f t="shared" ref="F127:G127" si="40">F14</f>
        <v>0</v>
      </c>
      <c r="G127" s="116">
        <f t="shared" si="40"/>
        <v>0</v>
      </c>
      <c r="H127" s="141">
        <f t="shared" ref="H127:J127" si="41">I14</f>
        <v>0</v>
      </c>
      <c r="I127" s="116">
        <f t="shared" si="41"/>
        <v>0</v>
      </c>
      <c r="J127" s="116">
        <f t="shared" si="41"/>
        <v>0</v>
      </c>
      <c r="K127" s="110">
        <f>SUMIF(O$8:O$18,VLOOKUP(7,A$8:B$18,2,FALSE),Q$8:Q$18)+SUMIF(P$8:P$18,VLOOKUP(7,A$8:B$18,2,FALSE),Q$8:Q$18)</f>
        <v>0</v>
      </c>
      <c r="L127" s="110">
        <f>COUNTIFS('2nd Innings'!$C$8:$C$18,"caught",'2nd Innings'!$D$8:$D$18,VLOOKUP(7,$A$8:$B$18,2,FALSE))+COUNTIFS('2nd Innings'!$C$8:$C$18,"caught WK",'2nd Innings'!$D$8:$D$18,VLOOKUP(7,$A$8:$B$18,2,FALSE))</f>
        <v>0</v>
      </c>
      <c r="M127" s="110">
        <f>COUNTIFS('2nd Innings'!$C$8:$C$18,"Run Out",'2nd Innings'!$D$8:$D$18,VLOOKUP(7,$A$8:$B$18,2,FALSE))</f>
        <v>0</v>
      </c>
      <c r="N127" s="110">
        <f>COUNTIFS('2nd Innings'!$C$8:$C$18,"Stumped",'2nd Innings'!$D$8:$D$18,VLOOKUP(7,$A$8:$B$18,2,FALSE))</f>
        <v>0</v>
      </c>
      <c r="O127" s="110">
        <f t="shared" si="18"/>
        <v>0</v>
      </c>
      <c r="P127" s="110">
        <f t="shared" si="5"/>
        <v>0</v>
      </c>
      <c r="Q127" s="110">
        <f t="shared" si="19"/>
        <v>0</v>
      </c>
      <c r="R127" s="110" t="e">
        <f>VLOOKUP(VLOOKUP(7,$A$8:$B$18,2,FALSE),'2nd Innings'!$D$26:$N$36,2,FALSE)</f>
        <v>#N/A</v>
      </c>
      <c r="S127" s="110" t="e">
        <f>VLOOKUP(VLOOKUP(7,$A$8:$B$18,2,FALSE),'2nd Innings'!$D$26:$N$36,3,FALSE)</f>
        <v>#N/A</v>
      </c>
      <c r="T127" s="110" t="e">
        <f>VLOOKUP(VLOOKUP(7,$A$8:$B$18,2,FALSE),'2nd Innings'!$D$26:$N$36,4,FALSE)</f>
        <v>#N/A</v>
      </c>
      <c r="U127" s="110" t="e">
        <f>VLOOKUP(VLOOKUP(7,$A$8:$B$18,2,FALSE),'2nd Innings'!$D$26:$N$36,5,FALSE)</f>
        <v>#N/A</v>
      </c>
      <c r="V127" s="110" t="e">
        <f>VLOOKUP(VLOOKUP(7,$A$8:$B$18,2,FALSE),'2nd Innings'!$D$26:$N$36,6,FALSE)</f>
        <v>#N/A</v>
      </c>
      <c r="W127" s="110" t="e">
        <f>VLOOKUP(VLOOKUP(7,$A$8:$B$18,2,FALSE),'2nd Innings'!$D$26:$N$36,7,FALSE)</f>
        <v>#N/A</v>
      </c>
      <c r="X127" s="110" t="e">
        <f>VLOOKUP(VLOOKUP(7,$A$8:$B$18,2,FALSE),'2nd Innings'!$D$26:$N$36,10,FALSE)</f>
        <v>#N/A</v>
      </c>
      <c r="Y127" s="110" t="e">
        <f>VLOOKUP(VLOOKUP(7,$A$8:$B$18,2,FALSE),'2nd Innings'!$D$26:$N$36,11,FALSE)</f>
        <v>#N/A</v>
      </c>
      <c r="Z127" s="110">
        <f t="shared" si="6"/>
        <v>0</v>
      </c>
      <c r="AA127" s="110">
        <f t="shared" si="20"/>
        <v>0</v>
      </c>
      <c r="AB127" s="110">
        <f t="shared" si="21"/>
        <v>0</v>
      </c>
      <c r="AC127" s="110">
        <f t="shared" si="22"/>
        <v>0</v>
      </c>
      <c r="AD127" s="111" t="e">
        <f t="shared" si="7"/>
        <v>#DIV/0!</v>
      </c>
      <c r="AE127" s="111" t="e">
        <f t="shared" si="23"/>
        <v>#DIV/0!</v>
      </c>
      <c r="AF127" s="112" t="e">
        <f t="shared" si="24"/>
        <v>#DIV/0!</v>
      </c>
      <c r="AG127" s="113" t="e">
        <f t="shared" si="8"/>
        <v>#N/A</v>
      </c>
      <c r="AH127" s="114">
        <f t="shared" si="9"/>
        <v>0</v>
      </c>
      <c r="AI127" s="115" t="e">
        <f t="shared" si="25"/>
        <v>#DIV/0!</v>
      </c>
      <c r="AJ127" s="111" t="e">
        <f t="shared" ref="AJ127:AJ131" si="42">100*F127/G127</f>
        <v>#DIV/0!</v>
      </c>
      <c r="AK127" s="111" t="e">
        <f t="shared" ref="AK127:AK131" si="43">$P$26-(($P$26-AJ127)/2)</f>
        <v>#DIV/0!</v>
      </c>
      <c r="AL127" s="116" t="e">
        <f t="shared" si="10"/>
        <v>#N/A</v>
      </c>
      <c r="AM127" s="116" t="e">
        <f t="shared" si="32"/>
        <v>#N/A</v>
      </c>
      <c r="AN127" s="117" t="e">
        <f t="shared" si="33"/>
        <v>#N/A</v>
      </c>
      <c r="AO127" s="117" t="e">
        <f>(1-NORMDIST(AN127,$P$32,($P$32/4),TRUE))*(R127/($E$37+'2nd Innings'!$E$37))</f>
        <v>#N/A</v>
      </c>
      <c r="AP127" s="116" t="e">
        <f>(AO127/AO$143)*(200-(8*($H$37+'2nd Innings'!$H$37)))</f>
        <v>#N/A</v>
      </c>
      <c r="AQ127" s="111" t="e">
        <f t="shared" si="11"/>
        <v>#N/A</v>
      </c>
      <c r="AR127" s="110">
        <f t="shared" si="28"/>
        <v>0</v>
      </c>
      <c r="AS127" s="118">
        <f>IF(A127='2nd Innings'!$C$34,1,0)</f>
        <v>1</v>
      </c>
      <c r="AT127" s="166">
        <f t="shared" si="29"/>
        <v>0</v>
      </c>
      <c r="AU127" s="110">
        <f>COUNTIFS('2nd Innings'!$C$8:$C$18,"caught WK",'2nd Innings'!$D$8:$D$18,VLOOKUP(7,$A$8:$B$18,2,FALSE))+N127</f>
        <v>0</v>
      </c>
      <c r="AV127" s="57"/>
      <c r="AW127" s="57"/>
      <c r="AX127" s="57"/>
      <c r="AY127" s="57"/>
      <c r="AZ127" s="57"/>
      <c r="BA127" s="57"/>
      <c r="BB127" s="57"/>
      <c r="BC127" s="57"/>
      <c r="BD127" s="57"/>
      <c r="BE127" s="57"/>
      <c r="BF127" s="57"/>
      <c r="BG127" s="57"/>
      <c r="BH127" s="57"/>
      <c r="BI127" s="57"/>
      <c r="BJ127" s="57"/>
      <c r="BK127" s="57"/>
      <c r="BL127" s="57"/>
      <c r="BM127" s="57"/>
      <c r="BN127" s="57"/>
      <c r="BO127" s="57"/>
      <c r="BP127" s="57"/>
      <c r="BQ127" s="57"/>
      <c r="BR127" s="57"/>
      <c r="BS127" s="57"/>
      <c r="BT127" s="57"/>
    </row>
    <row r="128" spans="1:72" x14ac:dyDescent="0.25">
      <c r="A128" s="140">
        <f t="shared" si="12"/>
        <v>0</v>
      </c>
      <c r="B128" s="116">
        <f t="shared" si="13"/>
        <v>8</v>
      </c>
      <c r="C128" s="116">
        <v>1</v>
      </c>
      <c r="D128" s="116">
        <f t="shared" si="14"/>
        <v>0</v>
      </c>
      <c r="E128" s="116">
        <f t="shared" si="15"/>
        <v>0</v>
      </c>
      <c r="F128" s="116">
        <f t="shared" ref="F128:G128" si="44">F15</f>
        <v>0</v>
      </c>
      <c r="G128" s="116">
        <f t="shared" si="44"/>
        <v>0</v>
      </c>
      <c r="H128" s="141">
        <f t="shared" ref="H128:J128" si="45">I15</f>
        <v>0</v>
      </c>
      <c r="I128" s="116">
        <f t="shared" si="45"/>
        <v>0</v>
      </c>
      <c r="J128" s="116">
        <f t="shared" si="45"/>
        <v>0</v>
      </c>
      <c r="K128" s="110">
        <f>SUMIF(O$8:O$18,VLOOKUP(8,A$8:B$18,2,FALSE),Q$8:Q$18)+SUMIF(P$8:P$18,VLOOKUP(8,A$8:B$18,2,FALSE),Q$8:Q$18)</f>
        <v>0</v>
      </c>
      <c r="L128" s="110">
        <f>COUNTIFS('2nd Innings'!$C$8:$C$18,"caught",'2nd Innings'!$D$8:$D$18,VLOOKUP(8,$A$8:$B$18,2,FALSE))+COUNTIFS('2nd Innings'!$C$8:$C$18,"caught WK",'2nd Innings'!$D$8:$D$18,VLOOKUP(8,$A$8:$B$18,2,FALSE))</f>
        <v>0</v>
      </c>
      <c r="M128" s="110">
        <f>COUNTIFS('2nd Innings'!$C$8:$C$18,"Run Out",'2nd Innings'!$D$8:$D$18,VLOOKUP(8,$A$8:$B$18,2,FALSE))</f>
        <v>0</v>
      </c>
      <c r="N128" s="110">
        <f>COUNTIFS('2nd Innings'!$C$8:$C$18,"Stumped",'2nd Innings'!$D$8:$D$18,VLOOKUP(8,$A$8:$B$18,2,FALSE))</f>
        <v>0</v>
      </c>
      <c r="O128" s="110">
        <f t="shared" si="18"/>
        <v>0</v>
      </c>
      <c r="P128" s="110">
        <f t="shared" si="5"/>
        <v>0</v>
      </c>
      <c r="Q128" s="110">
        <f t="shared" si="19"/>
        <v>0</v>
      </c>
      <c r="R128" s="110" t="e">
        <f>VLOOKUP(VLOOKUP(8,$A$8:$B$18,2,FALSE),'2nd Innings'!$D$26:$N$36,2,FALSE)</f>
        <v>#N/A</v>
      </c>
      <c r="S128" s="110" t="e">
        <f>VLOOKUP(VLOOKUP(8,$A$8:$B$18,2,FALSE),'2nd Innings'!$D$26:$N$36,3,FALSE)</f>
        <v>#N/A</v>
      </c>
      <c r="T128" s="110" t="e">
        <f>VLOOKUP(VLOOKUP(8,$A$8:$B$18,2,FALSE),'2nd Innings'!$D$26:$N$36,4,FALSE)</f>
        <v>#N/A</v>
      </c>
      <c r="U128" s="110" t="e">
        <f>VLOOKUP(VLOOKUP(8,$A$8:$B$18,2,FALSE),'2nd Innings'!$D$26:$N$36,5,FALSE)</f>
        <v>#N/A</v>
      </c>
      <c r="V128" s="110" t="e">
        <f>VLOOKUP(VLOOKUP(8,$A$8:$B$18,2,FALSE),'2nd Innings'!$D$26:$N$36,6,FALSE)</f>
        <v>#N/A</v>
      </c>
      <c r="W128" s="110" t="e">
        <f>VLOOKUP(VLOOKUP(8,$A$8:$B$18,2,FALSE),'2nd Innings'!$D$26:$N$36,7,FALSE)</f>
        <v>#N/A</v>
      </c>
      <c r="X128" s="110" t="e">
        <f>VLOOKUP(VLOOKUP(8,$A$8:$B$18,2,FALSE),'2nd Innings'!$D$26:$N$36,10,FALSE)</f>
        <v>#N/A</v>
      </c>
      <c r="Y128" s="110" t="e">
        <f>VLOOKUP(VLOOKUP(8,$A$8:$B$18,2,FALSE),'2nd Innings'!$D$26:$N$36,11,FALSE)</f>
        <v>#N/A</v>
      </c>
      <c r="Z128" s="110">
        <f t="shared" si="6"/>
        <v>0</v>
      </c>
      <c r="AA128" s="110">
        <f t="shared" si="20"/>
        <v>0</v>
      </c>
      <c r="AB128" s="110">
        <f t="shared" si="21"/>
        <v>0</v>
      </c>
      <c r="AC128" s="110">
        <f t="shared" si="22"/>
        <v>0</v>
      </c>
      <c r="AD128" s="111" t="e">
        <f t="shared" si="7"/>
        <v>#DIV/0!</v>
      </c>
      <c r="AE128" s="111" t="e">
        <f t="shared" si="23"/>
        <v>#DIV/0!</v>
      </c>
      <c r="AF128" s="112" t="e">
        <f t="shared" si="24"/>
        <v>#DIV/0!</v>
      </c>
      <c r="AG128" s="113" t="e">
        <f t="shared" si="8"/>
        <v>#N/A</v>
      </c>
      <c r="AH128" s="114">
        <f t="shared" si="9"/>
        <v>0</v>
      </c>
      <c r="AI128" s="115" t="e">
        <f t="shared" si="25"/>
        <v>#DIV/0!</v>
      </c>
      <c r="AJ128" s="111" t="e">
        <f t="shared" si="42"/>
        <v>#DIV/0!</v>
      </c>
      <c r="AK128" s="111" t="e">
        <f t="shared" si="43"/>
        <v>#DIV/0!</v>
      </c>
      <c r="AL128" s="116" t="e">
        <f t="shared" si="10"/>
        <v>#N/A</v>
      </c>
      <c r="AM128" s="116" t="e">
        <f t="shared" si="32"/>
        <v>#N/A</v>
      </c>
      <c r="AN128" s="117" t="e">
        <f t="shared" si="33"/>
        <v>#N/A</v>
      </c>
      <c r="AO128" s="117" t="e">
        <f>(1-NORMDIST(AN128,$P$32,($P$32/4),TRUE))*(R128/($E$37+'2nd Innings'!$E$37))</f>
        <v>#N/A</v>
      </c>
      <c r="AP128" s="116" t="e">
        <f>(AO128/AO$143)*(200-(8*($H$37+'2nd Innings'!$H$37)))</f>
        <v>#N/A</v>
      </c>
      <c r="AQ128" s="111" t="e">
        <f t="shared" si="11"/>
        <v>#N/A</v>
      </c>
      <c r="AR128" s="110">
        <f t="shared" si="28"/>
        <v>0</v>
      </c>
      <c r="AS128" s="118">
        <f>IF(A128='2nd Innings'!$C$34,1,0)</f>
        <v>1</v>
      </c>
      <c r="AT128" s="166">
        <f t="shared" si="29"/>
        <v>0</v>
      </c>
      <c r="AU128" s="110">
        <f>COUNTIFS('2nd Innings'!$C$8:$C$18,"caught WK",'2nd Innings'!$D$8:$D$18,VLOOKUP(8,$A$8:$B$18,2,FALSE))+N128</f>
        <v>0</v>
      </c>
      <c r="AV128" s="57"/>
      <c r="AW128" s="57"/>
      <c r="AX128" s="57"/>
      <c r="AY128" s="57"/>
      <c r="AZ128" s="57"/>
      <c r="BA128" s="57"/>
      <c r="BB128" s="57"/>
      <c r="BC128" s="57"/>
      <c r="BD128" s="57"/>
      <c r="BE128" s="57"/>
      <c r="BF128" s="57"/>
      <c r="BG128" s="57"/>
      <c r="BH128" s="57"/>
      <c r="BI128" s="57"/>
      <c r="BJ128" s="57"/>
      <c r="BK128" s="57"/>
      <c r="BL128" s="57"/>
      <c r="BM128" s="57"/>
      <c r="BN128" s="57"/>
      <c r="BO128" s="57"/>
      <c r="BP128" s="57"/>
      <c r="BQ128" s="57"/>
      <c r="BR128" s="57"/>
      <c r="BS128" s="57"/>
      <c r="BT128" s="57"/>
    </row>
    <row r="129" spans="1:72" x14ac:dyDescent="0.25">
      <c r="A129" s="140">
        <f t="shared" si="12"/>
        <v>0</v>
      </c>
      <c r="B129" s="116">
        <f t="shared" si="13"/>
        <v>9</v>
      </c>
      <c r="C129" s="116">
        <v>1</v>
      </c>
      <c r="D129" s="116">
        <f t="shared" si="14"/>
        <v>0</v>
      </c>
      <c r="E129" s="116">
        <f t="shared" si="15"/>
        <v>0</v>
      </c>
      <c r="F129" s="116">
        <f t="shared" ref="F129:G129" si="46">F16</f>
        <v>0</v>
      </c>
      <c r="G129" s="116">
        <f t="shared" si="46"/>
        <v>0</v>
      </c>
      <c r="H129" s="141">
        <f t="shared" ref="H129:J129" si="47">I16</f>
        <v>0</v>
      </c>
      <c r="I129" s="116">
        <f t="shared" si="47"/>
        <v>0</v>
      </c>
      <c r="J129" s="116">
        <f t="shared" si="47"/>
        <v>0</v>
      </c>
      <c r="K129" s="110">
        <f>SUMIF(O$8:O$18,VLOOKUP(9,A$8:B$18,2,FALSE),Q$8:Q$18)+SUMIF(P$8:P$18,VLOOKUP(9,A$8:B$18,2,FALSE),Q$8:Q$18)</f>
        <v>0</v>
      </c>
      <c r="L129" s="110">
        <f>COUNTIFS('2nd Innings'!$C$8:$C$18,"caught",'2nd Innings'!$D$8:$D$18,VLOOKUP(9,$A$8:$B$18,2,FALSE))+COUNTIFS('2nd Innings'!$C$8:$C$18,"caught WK",'2nd Innings'!$D$8:$D$18,VLOOKUP(9,$A$8:$B$18,2,FALSE))</f>
        <v>0</v>
      </c>
      <c r="M129" s="110">
        <f>COUNTIFS('2nd Innings'!$C$8:$C$18,"Run Out",'2nd Innings'!$D$8:$D$18,VLOOKUP(9,$A$8:$B$18,2,FALSE))</f>
        <v>0</v>
      </c>
      <c r="N129" s="110">
        <f>COUNTIFS('2nd Innings'!$C$8:$C$18,"Stumped",'2nd Innings'!$D$8:$D$18,VLOOKUP(9,$A$8:$B$18,2,FALSE))</f>
        <v>0</v>
      </c>
      <c r="O129" s="110">
        <f t="shared" si="18"/>
        <v>0</v>
      </c>
      <c r="P129" s="110">
        <f t="shared" si="5"/>
        <v>0</v>
      </c>
      <c r="Q129" s="110">
        <f t="shared" si="19"/>
        <v>0</v>
      </c>
      <c r="R129" s="110" t="e">
        <f>VLOOKUP(VLOOKUP(9,$A$8:$B$18,2,FALSE),'2nd Innings'!$D$26:$N$36,2,FALSE)</f>
        <v>#N/A</v>
      </c>
      <c r="S129" s="110" t="e">
        <f>VLOOKUP(VLOOKUP(9,$A$8:$B$18,2,FALSE),'2nd Innings'!$D$26:$N$36,3,FALSE)</f>
        <v>#N/A</v>
      </c>
      <c r="T129" s="110" t="e">
        <f>VLOOKUP(VLOOKUP(9,$A$8:$B$18,2,FALSE),'2nd Innings'!$D$26:$N$36,4,FALSE)</f>
        <v>#N/A</v>
      </c>
      <c r="U129" s="110" t="e">
        <f>VLOOKUP(VLOOKUP(9,$A$8:$B$18,2,FALSE),'2nd Innings'!$D$26:$N$36,5,FALSE)</f>
        <v>#N/A</v>
      </c>
      <c r="V129" s="110" t="e">
        <f>VLOOKUP(VLOOKUP(9,$A$8:$B$18,2,FALSE),'2nd Innings'!$D$26:$N$36,6,FALSE)</f>
        <v>#N/A</v>
      </c>
      <c r="W129" s="110" t="e">
        <f>VLOOKUP(VLOOKUP(9,$A$8:$B$18,2,FALSE),'2nd Innings'!$D$26:$N$36,7,FALSE)</f>
        <v>#N/A</v>
      </c>
      <c r="X129" s="110" t="e">
        <f>VLOOKUP(VLOOKUP(9,$A$8:$B$18,2,FALSE),'2nd Innings'!$D$26:$N$36,10,FALSE)</f>
        <v>#N/A</v>
      </c>
      <c r="Y129" s="110" t="e">
        <f>VLOOKUP(VLOOKUP(9,$A$8:$B$18,2,FALSE),'2nd Innings'!$D$26:$N$36,11,FALSE)</f>
        <v>#N/A</v>
      </c>
      <c r="Z129" s="110">
        <f t="shared" si="6"/>
        <v>0</v>
      </c>
      <c r="AA129" s="110">
        <f t="shared" si="20"/>
        <v>0</v>
      </c>
      <c r="AB129" s="110">
        <f t="shared" si="21"/>
        <v>0</v>
      </c>
      <c r="AC129" s="110">
        <f t="shared" si="22"/>
        <v>0</v>
      </c>
      <c r="AD129" s="111" t="e">
        <f t="shared" si="7"/>
        <v>#DIV/0!</v>
      </c>
      <c r="AE129" s="111" t="e">
        <f t="shared" si="23"/>
        <v>#DIV/0!</v>
      </c>
      <c r="AF129" s="112" t="e">
        <f t="shared" si="24"/>
        <v>#DIV/0!</v>
      </c>
      <c r="AG129" s="113" t="e">
        <f t="shared" si="8"/>
        <v>#N/A</v>
      </c>
      <c r="AH129" s="114">
        <f t="shared" si="9"/>
        <v>0</v>
      </c>
      <c r="AI129" s="115" t="e">
        <f t="shared" si="25"/>
        <v>#DIV/0!</v>
      </c>
      <c r="AJ129" s="111" t="e">
        <f t="shared" si="42"/>
        <v>#DIV/0!</v>
      </c>
      <c r="AK129" s="111" t="e">
        <f t="shared" si="43"/>
        <v>#DIV/0!</v>
      </c>
      <c r="AL129" s="116" t="e">
        <f t="shared" si="10"/>
        <v>#N/A</v>
      </c>
      <c r="AM129" s="116" t="e">
        <f t="shared" si="32"/>
        <v>#N/A</v>
      </c>
      <c r="AN129" s="117" t="e">
        <f t="shared" si="33"/>
        <v>#N/A</v>
      </c>
      <c r="AO129" s="117" t="e">
        <f>(1-NORMDIST(AN129,$P$32,($P$32/4),TRUE))*(R129/($E$37+'2nd Innings'!$E$37))</f>
        <v>#N/A</v>
      </c>
      <c r="AP129" s="116" t="e">
        <f>(AO129/AO$143)*(200-(8*($H$37+'2nd Innings'!$H$37)))</f>
        <v>#N/A</v>
      </c>
      <c r="AQ129" s="111" t="e">
        <f t="shared" si="11"/>
        <v>#N/A</v>
      </c>
      <c r="AR129" s="110">
        <f t="shared" si="28"/>
        <v>0</v>
      </c>
      <c r="AS129" s="118">
        <f>IF(A129='2nd Innings'!$C$34,1,0)</f>
        <v>1</v>
      </c>
      <c r="AT129" s="166">
        <f t="shared" si="29"/>
        <v>0</v>
      </c>
      <c r="AU129" s="110">
        <f>COUNTIFS('2nd Innings'!$C$8:$C$18,"caught WK",'2nd Innings'!$D$8:$D$18,VLOOKUP(9,$A$8:$B$18,2,FALSE))+N129</f>
        <v>0</v>
      </c>
      <c r="AV129" s="57"/>
      <c r="AW129" s="57"/>
      <c r="AX129" s="57"/>
      <c r="AY129" s="57"/>
      <c r="AZ129" s="57"/>
      <c r="BA129" s="57"/>
      <c r="BB129" s="57"/>
      <c r="BC129" s="57"/>
      <c r="BD129" s="57"/>
      <c r="BE129" s="57"/>
      <c r="BF129" s="57"/>
      <c r="BG129" s="57"/>
      <c r="BH129" s="57"/>
      <c r="BI129" s="57"/>
      <c r="BJ129" s="57"/>
      <c r="BK129" s="57"/>
      <c r="BL129" s="57"/>
      <c r="BM129" s="57"/>
      <c r="BN129" s="57"/>
      <c r="BO129" s="57"/>
      <c r="BP129" s="57"/>
      <c r="BQ129" s="57"/>
      <c r="BR129" s="57"/>
      <c r="BS129" s="57"/>
      <c r="BT129" s="57"/>
    </row>
    <row r="130" spans="1:72" x14ac:dyDescent="0.25">
      <c r="A130" s="140">
        <f t="shared" si="12"/>
        <v>0</v>
      </c>
      <c r="B130" s="116">
        <f t="shared" si="13"/>
        <v>10</v>
      </c>
      <c r="C130" s="116">
        <v>1</v>
      </c>
      <c r="D130" s="116">
        <f t="shared" si="14"/>
        <v>0</v>
      </c>
      <c r="E130" s="116">
        <f t="shared" si="15"/>
        <v>0</v>
      </c>
      <c r="F130" s="116">
        <f t="shared" ref="F130:G130" si="48">F17</f>
        <v>0</v>
      </c>
      <c r="G130" s="116">
        <f t="shared" si="48"/>
        <v>0</v>
      </c>
      <c r="H130" s="141">
        <f t="shared" ref="H130:J130" si="49">I17</f>
        <v>0</v>
      </c>
      <c r="I130" s="116">
        <f t="shared" si="49"/>
        <v>0</v>
      </c>
      <c r="J130" s="116">
        <f t="shared" si="49"/>
        <v>0</v>
      </c>
      <c r="K130" s="110">
        <f>SUMIF(O$8:O$18,VLOOKUP(10,A$8:B$18,2,FALSE),Q$8:Q$18)+SUMIF(P$8:P$18,VLOOKUP(10,A$8:B$18,2,FALSE),Q$8:Q$18)</f>
        <v>0</v>
      </c>
      <c r="L130" s="110">
        <f>COUNTIFS('2nd Innings'!$C$8:$C$18,"caught",'2nd Innings'!$D$8:$D$18,VLOOKUP(10,$A$8:$B$18,2,FALSE))+COUNTIFS('2nd Innings'!$C$8:$C$18,"caught WK",'2nd Innings'!$D$8:$D$18,VLOOKUP(10,$A$8:$B$18,2,FALSE))</f>
        <v>0</v>
      </c>
      <c r="M130" s="110">
        <f>COUNTIFS('2nd Innings'!$C$8:$C$18,"Run Out",'2nd Innings'!$D$8:$D$18,VLOOKUP(10,$A$8:$B$18,2,FALSE))</f>
        <v>0</v>
      </c>
      <c r="N130" s="110">
        <f>COUNTIFS('2nd Innings'!$C$8:$C$18,"Stumped",'2nd Innings'!$D$8:$D$18,VLOOKUP(10,$A$8:$B$18,2,FALSE))</f>
        <v>0</v>
      </c>
      <c r="O130" s="110">
        <f t="shared" si="18"/>
        <v>0</v>
      </c>
      <c r="P130" s="110">
        <f t="shared" si="5"/>
        <v>0</v>
      </c>
      <c r="Q130" s="110">
        <f t="shared" si="19"/>
        <v>0</v>
      </c>
      <c r="R130" s="110" t="e">
        <f>VLOOKUP(VLOOKUP(10,$A$8:$B$18,2,FALSE),'2nd Innings'!$D$26:$N$36,2,FALSE)</f>
        <v>#N/A</v>
      </c>
      <c r="S130" s="110" t="e">
        <f>VLOOKUP(VLOOKUP(10,$A$8:$B$18,2,FALSE),'2nd Innings'!$D$26:$N$36,3,FALSE)</f>
        <v>#N/A</v>
      </c>
      <c r="T130" s="110" t="e">
        <f>VLOOKUP(VLOOKUP(10,$A$8:$B$18,2,FALSE),'2nd Innings'!$D$26:$N$36,4,FALSE)</f>
        <v>#N/A</v>
      </c>
      <c r="U130" s="110" t="e">
        <f>VLOOKUP(VLOOKUP(10,$A$8:$B$18,2,FALSE),'2nd Innings'!$D$26:$N$36,5,FALSE)</f>
        <v>#N/A</v>
      </c>
      <c r="V130" s="110" t="e">
        <f>VLOOKUP(VLOOKUP(10,$A$8:$B$18,2,FALSE),'2nd Innings'!$D$26:$N$36,6,FALSE)</f>
        <v>#N/A</v>
      </c>
      <c r="W130" s="110" t="e">
        <f>VLOOKUP(VLOOKUP(10,$A$8:$B$18,2,FALSE),'2nd Innings'!$D$26:$N$36,7,FALSE)</f>
        <v>#N/A</v>
      </c>
      <c r="X130" s="110" t="e">
        <f>VLOOKUP(VLOOKUP(10,$A$8:$B$18,2,FALSE),'2nd Innings'!$D$26:$N$36,10,FALSE)</f>
        <v>#N/A</v>
      </c>
      <c r="Y130" s="110" t="e">
        <f>VLOOKUP(VLOOKUP(10,$A$8:$B$18,2,FALSE),'2nd Innings'!$D$26:$N$36,11,FALSE)</f>
        <v>#N/A</v>
      </c>
      <c r="Z130" s="110">
        <f t="shared" si="6"/>
        <v>0</v>
      </c>
      <c r="AA130" s="110">
        <f t="shared" si="20"/>
        <v>0</v>
      </c>
      <c r="AB130" s="110">
        <f t="shared" si="21"/>
        <v>0</v>
      </c>
      <c r="AC130" s="110">
        <f t="shared" si="22"/>
        <v>0</v>
      </c>
      <c r="AD130" s="111" t="e">
        <f t="shared" si="7"/>
        <v>#DIV/0!</v>
      </c>
      <c r="AE130" s="111" t="e">
        <f t="shared" si="23"/>
        <v>#DIV/0!</v>
      </c>
      <c r="AF130" s="112" t="e">
        <f t="shared" si="24"/>
        <v>#DIV/0!</v>
      </c>
      <c r="AG130" s="113" t="e">
        <f t="shared" si="8"/>
        <v>#N/A</v>
      </c>
      <c r="AH130" s="114">
        <f t="shared" si="9"/>
        <v>0</v>
      </c>
      <c r="AI130" s="115" t="e">
        <f t="shared" si="25"/>
        <v>#DIV/0!</v>
      </c>
      <c r="AJ130" s="111" t="e">
        <f t="shared" si="42"/>
        <v>#DIV/0!</v>
      </c>
      <c r="AK130" s="111" t="e">
        <f t="shared" si="43"/>
        <v>#DIV/0!</v>
      </c>
      <c r="AL130" s="116" t="e">
        <f t="shared" si="10"/>
        <v>#N/A</v>
      </c>
      <c r="AM130" s="116" t="e">
        <f t="shared" si="32"/>
        <v>#N/A</v>
      </c>
      <c r="AN130" s="117" t="e">
        <f t="shared" si="33"/>
        <v>#N/A</v>
      </c>
      <c r="AO130" s="117" t="e">
        <f>(1-NORMDIST(AN130,$P$32,($P$32/4),TRUE))*(R130/($E$37+'2nd Innings'!$E$37))</f>
        <v>#N/A</v>
      </c>
      <c r="AP130" s="116" t="e">
        <f>(AO130/AO$143)*(200-(8*($H$37+'2nd Innings'!$H$37)))</f>
        <v>#N/A</v>
      </c>
      <c r="AQ130" s="111" t="e">
        <f t="shared" si="11"/>
        <v>#N/A</v>
      </c>
      <c r="AR130" s="110">
        <f t="shared" si="28"/>
        <v>0</v>
      </c>
      <c r="AS130" s="118">
        <f>IF(A130='2nd Innings'!$C$34,1,0)</f>
        <v>1</v>
      </c>
      <c r="AT130" s="166">
        <f t="shared" si="29"/>
        <v>0</v>
      </c>
      <c r="AU130" s="110">
        <f>COUNTIFS('2nd Innings'!$C$8:$C$18,"caught WK",'2nd Innings'!$D$8:$D$18,VLOOKUP(10,$A$8:$B$18,2,FALSE))+N130</f>
        <v>0</v>
      </c>
      <c r="AV130" s="57"/>
      <c r="AW130" s="57"/>
      <c r="AX130" s="57"/>
      <c r="AY130" s="57"/>
      <c r="AZ130" s="57"/>
      <c r="BA130" s="57"/>
      <c r="BB130" s="57"/>
      <c r="BC130" s="57"/>
      <c r="BD130" s="57"/>
      <c r="BE130" s="57"/>
      <c r="BF130" s="57"/>
      <c r="BG130" s="57"/>
      <c r="BH130" s="57"/>
      <c r="BI130" s="57"/>
      <c r="BJ130" s="57"/>
      <c r="BK130" s="57"/>
      <c r="BL130" s="57"/>
      <c r="BM130" s="57"/>
      <c r="BN130" s="57"/>
      <c r="BO130" s="57"/>
      <c r="BP130" s="57"/>
      <c r="BQ130" s="57"/>
      <c r="BR130" s="57"/>
      <c r="BS130" s="57"/>
      <c r="BT130" s="57"/>
    </row>
    <row r="131" spans="1:72" x14ac:dyDescent="0.25">
      <c r="A131" s="140">
        <f t="shared" si="12"/>
        <v>0</v>
      </c>
      <c r="B131" s="116">
        <f t="shared" si="13"/>
        <v>11</v>
      </c>
      <c r="C131" s="116">
        <v>1</v>
      </c>
      <c r="D131" s="116">
        <f t="shared" si="14"/>
        <v>0</v>
      </c>
      <c r="E131" s="116">
        <f t="shared" si="15"/>
        <v>0</v>
      </c>
      <c r="F131" s="116">
        <f t="shared" ref="F131:G131" si="50">F18</f>
        <v>0</v>
      </c>
      <c r="G131" s="116">
        <f t="shared" si="50"/>
        <v>0</v>
      </c>
      <c r="H131" s="141">
        <f t="shared" ref="H131:J131" si="51">I18</f>
        <v>0</v>
      </c>
      <c r="I131" s="116">
        <f t="shared" si="51"/>
        <v>0</v>
      </c>
      <c r="J131" s="116">
        <f t="shared" si="51"/>
        <v>0</v>
      </c>
      <c r="K131" s="110">
        <f>SUMIF(O$8:O$18,VLOOKUP(11,A$8:B$18,2,FALSE),Q$8:Q$18)+SUMIF(P$8:P$18,VLOOKUP(11,A$8:B$18,2,FALSE),Q$8:Q$18)</f>
        <v>0</v>
      </c>
      <c r="L131" s="110">
        <f>COUNTIFS('2nd Innings'!$C$8:$C$18,"caught",'2nd Innings'!$D$8:$D$18,VLOOKUP(11,$A$8:$B$18,2,FALSE))+COUNTIFS('2nd Innings'!$C$8:$C$18,"caught WK",'2nd Innings'!$D$8:$D$18,VLOOKUP(11,$A$8:$B$18,2,FALSE))</f>
        <v>0</v>
      </c>
      <c r="M131" s="110">
        <f>COUNTIFS('2nd Innings'!$C$8:$C$18,"Run Out",'2nd Innings'!$D$8:$D$18,VLOOKUP(11,$A$8:$B$18,2,FALSE))</f>
        <v>0</v>
      </c>
      <c r="N131" s="110">
        <f>COUNTIFS('2nd Innings'!$C$8:$C$18,"Stumped",'2nd Innings'!$D$8:$D$18,VLOOKUP(11,$A$8:$B$18,2,FALSE))</f>
        <v>0</v>
      </c>
      <c r="O131" s="110">
        <f t="shared" si="18"/>
        <v>0</v>
      </c>
      <c r="P131" s="110">
        <f t="shared" si="5"/>
        <v>0</v>
      </c>
      <c r="Q131" s="110">
        <f t="shared" si="19"/>
        <v>0</v>
      </c>
      <c r="R131" s="110" t="e">
        <f>VLOOKUP(VLOOKUP(11,$A$8:$B$18,2,FALSE),'2nd Innings'!$D$26:$N$36,2,FALSE)</f>
        <v>#N/A</v>
      </c>
      <c r="S131" s="110" t="e">
        <f>VLOOKUP(VLOOKUP(11,$A$8:$B$18,2,FALSE),'2nd Innings'!$D$26:$N$36,3,FALSE)</f>
        <v>#N/A</v>
      </c>
      <c r="T131" s="110" t="e">
        <f>VLOOKUP(VLOOKUP(11,$A$8:$B$18,2,FALSE),'2nd Innings'!$D$26:$N$36,4,FALSE)</f>
        <v>#N/A</v>
      </c>
      <c r="U131" s="110" t="e">
        <f>VLOOKUP(VLOOKUP(11,$A$8:$B$18,2,FALSE),'2nd Innings'!$D$26:$N$36,5,FALSE)</f>
        <v>#N/A</v>
      </c>
      <c r="V131" s="110" t="e">
        <f>VLOOKUP(VLOOKUP(11,$A$8:$B$18,2,FALSE),'2nd Innings'!$D$26:$N$36,6,FALSE)</f>
        <v>#N/A</v>
      </c>
      <c r="W131" s="110" t="e">
        <f>VLOOKUP(VLOOKUP(11,$A$8:$B$18,2,FALSE),'2nd Innings'!$D$26:$N$36,7,FALSE)</f>
        <v>#N/A</v>
      </c>
      <c r="X131" s="110" t="e">
        <f>VLOOKUP(VLOOKUP(11,$A$8:$B$18,2,FALSE),'2nd Innings'!$D$26:$N$36,10,FALSE)</f>
        <v>#N/A</v>
      </c>
      <c r="Y131" s="110" t="e">
        <f>VLOOKUP(VLOOKUP(11,$A$8:$B$18,2,FALSE),'2nd Innings'!$D$26:$N$36,11,FALSE)</f>
        <v>#N/A</v>
      </c>
      <c r="Z131" s="110">
        <f t="shared" si="6"/>
        <v>0</v>
      </c>
      <c r="AA131" s="110">
        <f t="shared" si="20"/>
        <v>0</v>
      </c>
      <c r="AB131" s="110">
        <f t="shared" si="21"/>
        <v>0</v>
      </c>
      <c r="AC131" s="110">
        <f t="shared" si="22"/>
        <v>0</v>
      </c>
      <c r="AD131" s="111" t="e">
        <f t="shared" si="7"/>
        <v>#DIV/0!</v>
      </c>
      <c r="AE131" s="111" t="e">
        <f t="shared" si="23"/>
        <v>#DIV/0!</v>
      </c>
      <c r="AF131" s="112" t="e">
        <f t="shared" si="24"/>
        <v>#DIV/0!</v>
      </c>
      <c r="AG131" s="113" t="e">
        <f t="shared" si="8"/>
        <v>#N/A</v>
      </c>
      <c r="AH131" s="114">
        <f t="shared" si="9"/>
        <v>0</v>
      </c>
      <c r="AI131" s="115" t="e">
        <f t="shared" si="25"/>
        <v>#DIV/0!</v>
      </c>
      <c r="AJ131" s="111" t="e">
        <f t="shared" si="42"/>
        <v>#DIV/0!</v>
      </c>
      <c r="AK131" s="111" t="e">
        <f t="shared" si="43"/>
        <v>#DIV/0!</v>
      </c>
      <c r="AL131" s="116" t="e">
        <f t="shared" si="10"/>
        <v>#N/A</v>
      </c>
      <c r="AM131" s="116" t="e">
        <f t="shared" si="32"/>
        <v>#N/A</v>
      </c>
      <c r="AN131" s="117" t="e">
        <f t="shared" si="33"/>
        <v>#N/A</v>
      </c>
      <c r="AO131" s="117" t="e">
        <f>(1-NORMDIST(AN131,$P$32,($P$32/4),TRUE))*(R131/($E$37+'2nd Innings'!$E$37))</f>
        <v>#N/A</v>
      </c>
      <c r="AP131" s="116" t="e">
        <f>(AO131/AO$143)*(200-(8*($H$37+'2nd Innings'!$H$37)))</f>
        <v>#N/A</v>
      </c>
      <c r="AQ131" s="111" t="e">
        <f t="shared" si="11"/>
        <v>#N/A</v>
      </c>
      <c r="AR131" s="110">
        <f t="shared" si="28"/>
        <v>0</v>
      </c>
      <c r="AS131" s="118">
        <f>IF(A131='2nd Innings'!$C$34,1,0)</f>
        <v>1</v>
      </c>
      <c r="AT131" s="166">
        <f t="shared" si="29"/>
        <v>0</v>
      </c>
      <c r="AU131" s="110">
        <f>COUNTIFS('2nd Innings'!$C$8:$C$18,"caught WK",'2nd Innings'!$D$8:$D$18,VLOOKUP(11,$A$8:$B$18,2,FALSE))+N131</f>
        <v>0</v>
      </c>
      <c r="AV131" s="57"/>
      <c r="AW131" s="57"/>
      <c r="AX131" s="57"/>
      <c r="AY131" s="57"/>
      <c r="AZ131" s="57"/>
      <c r="BA131" s="57"/>
      <c r="BB131" s="57"/>
      <c r="BC131" s="57"/>
      <c r="BD131" s="57"/>
      <c r="BE131" s="57"/>
      <c r="BF131" s="57"/>
      <c r="BG131" s="57"/>
      <c r="BH131" s="57"/>
      <c r="BI131" s="57"/>
      <c r="BJ131" s="57"/>
      <c r="BK131" s="57"/>
      <c r="BL131" s="57"/>
      <c r="BM131" s="57"/>
      <c r="BN131" s="57"/>
      <c r="BO131" s="57"/>
      <c r="BP131" s="57"/>
      <c r="BQ131" s="57"/>
      <c r="BR131" s="57"/>
      <c r="BS131" s="57"/>
      <c r="BT131" s="57"/>
    </row>
    <row r="132" spans="1:72" x14ac:dyDescent="0.25">
      <c r="A132" s="140">
        <f>'2nd Innings'!B8</f>
        <v>0</v>
      </c>
      <c r="B132" s="116">
        <f>'2nd Innings'!A8</f>
        <v>1</v>
      </c>
      <c r="C132" s="116">
        <v>1</v>
      </c>
      <c r="D132" s="116">
        <f>1-COUNTBLANK('2nd Innings'!C8)</f>
        <v>0</v>
      </c>
      <c r="E132" s="116">
        <f>COUNTIF('2nd Innings'!C8,"not out")</f>
        <v>0</v>
      </c>
      <c r="F132" s="116">
        <f>'2nd Innings'!F8</f>
        <v>0</v>
      </c>
      <c r="G132" s="116">
        <f>'2nd Innings'!G8</f>
        <v>0</v>
      </c>
      <c r="H132" s="141">
        <f>'2nd Innings'!I8</f>
        <v>0</v>
      </c>
      <c r="I132" s="116">
        <f>'2nd Innings'!J8</f>
        <v>0</v>
      </c>
      <c r="J132" s="116">
        <f>'2nd Innings'!K8</f>
        <v>0</v>
      </c>
      <c r="K132" s="110">
        <f>SUMIF('2nd Innings'!O8:O18,VLOOKUP(1,'2nd Innings'!A$8:B$18,2,FALSE),'2nd Innings'!Q$8:Q$18)+SUMIF('2nd Innings'!P$8:P$18,VLOOKUP(1,'2nd Innings'!A$8:B$18,2,FALSE),'2nd Innings'!Q$8:Q$18)</f>
        <v>0</v>
      </c>
      <c r="L132" s="110">
        <f>COUNTIFS($C$8:$C$18,"caught",$D$8:$D$18,VLOOKUP(1,'2nd Innings'!$A$8:$B$18,2,FALSE))+COUNTIFS($C$8:$C$18,"caught WK",$D$8:$D$18,VLOOKUP(1,'2nd Innings'!$A$8:$B$18,2,FALSE))</f>
        <v>0</v>
      </c>
      <c r="M132" s="110">
        <f>COUNTIFS($C$8:$C$18,"Run Out",$D$8:$D$18,VLOOKUP(1,'2nd Innings'!$A$8:$B$18,2,FALSE))</f>
        <v>0</v>
      </c>
      <c r="N132" s="110">
        <f>COUNTIFS($C$8:$C$18,"Stumped",$D$8:$D$18,VLOOKUP(1,'2nd Innings'!$A$8:$B$18,2,FALSE))</f>
        <v>0</v>
      </c>
      <c r="O132" s="110">
        <f t="shared" si="18"/>
        <v>0</v>
      </c>
      <c r="P132" s="110">
        <f t="shared" si="5"/>
        <v>0</v>
      </c>
      <c r="Q132" s="110">
        <f t="shared" si="19"/>
        <v>0</v>
      </c>
      <c r="R132" s="110" t="e">
        <f>VLOOKUP(VLOOKUP(1,'2nd Innings'!$A$8:$B$18,2,FALSE),$D$26:$N$36,2,FALSE)</f>
        <v>#N/A</v>
      </c>
      <c r="S132" s="110" t="e">
        <f>VLOOKUP(VLOOKUP(1,'2nd Innings'!$A$8:$B$18,2,FALSE),$D$26:$N$36,3,FALSE)</f>
        <v>#N/A</v>
      </c>
      <c r="T132" s="110" t="e">
        <f>VLOOKUP(VLOOKUP(1,'2nd Innings'!$A$8:$B$18,2,FALSE),$D$26:$N$36,4,FALSE)</f>
        <v>#N/A</v>
      </c>
      <c r="U132" s="110" t="e">
        <f>VLOOKUP(VLOOKUP(1,'2nd Innings'!$A$8:$B$18,2,FALSE),$D$26:$N$36,5,FALSE)</f>
        <v>#N/A</v>
      </c>
      <c r="V132" s="110" t="e">
        <f>VLOOKUP(VLOOKUP(1,'2nd Innings'!$A$8:$B$18,2,FALSE),$D$26:$N$36,6,FALSE)</f>
        <v>#N/A</v>
      </c>
      <c r="W132" s="110" t="e">
        <f>VLOOKUP(VLOOKUP(1,'2nd Innings'!$A$8:$B$18,2,FALSE),$D$26:$N$36,7,FALSE)</f>
        <v>#N/A</v>
      </c>
      <c r="X132" s="110" t="e">
        <f>VLOOKUP(VLOOKUP(1,'2nd Innings'!$A$8:$B$18,2,FALSE),$D$26:$N$36,10,FALSE)</f>
        <v>#N/A</v>
      </c>
      <c r="Y132" s="110" t="e">
        <f>VLOOKUP(VLOOKUP(1,'2nd Innings'!$A$8:$B$18,2,FALSE),$D$26:$N$36,11,FALSE)</f>
        <v>#N/A</v>
      </c>
      <c r="Z132" s="110">
        <f t="shared" si="6"/>
        <v>0</v>
      </c>
      <c r="AA132" s="110">
        <f t="shared" si="20"/>
        <v>0</v>
      </c>
      <c r="AB132" s="110">
        <f t="shared" si="21"/>
        <v>0</v>
      </c>
      <c r="AC132" s="110">
        <f t="shared" si="22"/>
        <v>0</v>
      </c>
      <c r="AD132" s="111" t="e">
        <f t="shared" si="7"/>
        <v>#DIV/0!</v>
      </c>
      <c r="AE132" s="111" t="e">
        <f t="shared" si="23"/>
        <v>#DIV/0!</v>
      </c>
      <c r="AF132" s="112" t="e">
        <f t="shared" si="24"/>
        <v>#DIV/0!</v>
      </c>
      <c r="AG132" s="113" t="e">
        <f t="shared" si="8"/>
        <v>#N/A</v>
      </c>
      <c r="AH132" s="114">
        <f t="shared" si="9"/>
        <v>0</v>
      </c>
      <c r="AI132" s="115" t="e">
        <f t="shared" si="25"/>
        <v>#DIV/0!</v>
      </c>
      <c r="AJ132" s="111" t="e">
        <f t="shared" si="26"/>
        <v>#DIV/0!</v>
      </c>
      <c r="AK132" s="111" t="e">
        <f t="shared" si="27"/>
        <v>#DIV/0!</v>
      </c>
      <c r="AL132" s="116" t="e">
        <f t="shared" si="10"/>
        <v>#N/A</v>
      </c>
      <c r="AM132" s="116" t="e">
        <f t="shared" si="32"/>
        <v>#N/A</v>
      </c>
      <c r="AN132" s="117" t="e">
        <f t="shared" si="33"/>
        <v>#N/A</v>
      </c>
      <c r="AO132" s="117" t="e">
        <f>(1-NORMDIST(AN132,$P$32,($P$32/4),TRUE))*(R132/($E$37+'2nd Innings'!$E$37))</f>
        <v>#N/A</v>
      </c>
      <c r="AP132" s="116" t="e">
        <f>(AO132/AO$143)*(200-(8*($H$37+'2nd Innings'!$H$37)))</f>
        <v>#N/A</v>
      </c>
      <c r="AQ132" s="111" t="e">
        <f t="shared" si="11"/>
        <v>#N/A</v>
      </c>
      <c r="AR132" s="110">
        <f>'2nd Innings'!$F$22</f>
        <v>0</v>
      </c>
      <c r="AS132" s="118">
        <f t="shared" ref="AS132:AS140" si="52">IF(A132=$C$34,1,0)</f>
        <v>1</v>
      </c>
      <c r="AT132" s="166">
        <f>B$4</f>
        <v>0</v>
      </c>
      <c r="AU132" s="110">
        <f>COUNTIFS($C$8:$C$18,"caught WK",$D$8:$D$18,VLOOKUP(1,'2nd Innings'!$A$8:$B$18,2,FALSE))+N132</f>
        <v>0</v>
      </c>
      <c r="AV132" s="57"/>
      <c r="AW132" s="57"/>
      <c r="AX132" s="57"/>
      <c r="AY132" s="57"/>
      <c r="AZ132" s="57"/>
      <c r="BA132" s="57"/>
      <c r="BB132" s="57"/>
      <c r="BC132" s="57"/>
      <c r="BD132" s="57"/>
      <c r="BE132" s="57"/>
      <c r="BF132" s="57"/>
      <c r="BG132" s="57"/>
      <c r="BH132" s="57"/>
      <c r="BI132" s="57"/>
      <c r="BJ132" s="57"/>
      <c r="BK132" s="57"/>
      <c r="BL132" s="57"/>
      <c r="BM132" s="57"/>
      <c r="BN132" s="57"/>
      <c r="BO132" s="57"/>
      <c r="BP132" s="57"/>
      <c r="BQ132" s="57"/>
      <c r="BR132" s="57"/>
      <c r="BS132" s="57"/>
      <c r="BT132" s="57"/>
    </row>
    <row r="133" spans="1:72" x14ac:dyDescent="0.25">
      <c r="A133" s="140">
        <f>'2nd Innings'!B9</f>
        <v>0</v>
      </c>
      <c r="B133" s="116">
        <f>'2nd Innings'!A9</f>
        <v>2</v>
      </c>
      <c r="C133" s="116">
        <v>1</v>
      </c>
      <c r="D133" s="116">
        <f>1-COUNTBLANK('2nd Innings'!C9)</f>
        <v>0</v>
      </c>
      <c r="E133" s="116">
        <f>COUNTIF('2nd Innings'!C9,"not out")</f>
        <v>0</v>
      </c>
      <c r="F133" s="116">
        <f>'2nd Innings'!F9</f>
        <v>0</v>
      </c>
      <c r="G133" s="116">
        <f>'2nd Innings'!G9</f>
        <v>0</v>
      </c>
      <c r="H133" s="141">
        <f>'2nd Innings'!I9</f>
        <v>0</v>
      </c>
      <c r="I133" s="116">
        <f>'2nd Innings'!J9</f>
        <v>0</v>
      </c>
      <c r="J133" s="116">
        <f>'2nd Innings'!K9</f>
        <v>0</v>
      </c>
      <c r="K133" s="110">
        <f>SUMIF('2nd Innings'!O8:O18,VLOOKUP(2,'2nd Innings'!A$8:B$18,2,FALSE),'2nd Innings'!Q$8:Q$18)+SUMIF('2nd Innings'!P$8:P$18,VLOOKUP(2,'2nd Innings'!A$8:B$18,2,FALSE),'2nd Innings'!Q$8:Q$18)</f>
        <v>0</v>
      </c>
      <c r="L133" s="110">
        <f>COUNTIFS($C$8:$C$18,"caught",$D$8:$D$18,VLOOKUP(2,'2nd Innings'!$A$8:$B$18,2,FALSE))+COUNTIFS($C$8:$C$18,"caught WK",$D$8:$D$18,VLOOKUP(2,'2nd Innings'!$A$8:$B$18,2,FALSE))</f>
        <v>0</v>
      </c>
      <c r="M133" s="110">
        <f>COUNTIFS($C$8:$C$18,"Run Out",$D$8:$D$18,VLOOKUP(2,'2nd Innings'!$A$8:$B$18,2,FALSE))</f>
        <v>0</v>
      </c>
      <c r="N133" s="110">
        <f>COUNTIFS($C$8:$C$18,"Stumped",$D$8:$D$18,VLOOKUP(2,'2nd Innings'!$A$8:$B$18,2,FALSE))</f>
        <v>0</v>
      </c>
      <c r="O133" s="110">
        <f t="shared" si="18"/>
        <v>0</v>
      </c>
      <c r="P133" s="110">
        <f t="shared" si="5"/>
        <v>0</v>
      </c>
      <c r="Q133" s="110">
        <f t="shared" si="19"/>
        <v>0</v>
      </c>
      <c r="R133" s="110" t="e">
        <f>VLOOKUP(VLOOKUP(2,'2nd Innings'!$A$8:$B$18,2,FALSE),$D$26:$N$36,2,FALSE)</f>
        <v>#N/A</v>
      </c>
      <c r="S133" s="110" t="e">
        <f>VLOOKUP(VLOOKUP(2,'2nd Innings'!$A$8:$B$18,2,FALSE),$D$26:$N$36,3,FALSE)</f>
        <v>#N/A</v>
      </c>
      <c r="T133" s="110" t="e">
        <f>VLOOKUP(VLOOKUP(2,'2nd Innings'!$A$8:$B$18,2,FALSE),$D$26:$N$36,4,FALSE)</f>
        <v>#N/A</v>
      </c>
      <c r="U133" s="110" t="e">
        <f>VLOOKUP(VLOOKUP(2,'2nd Innings'!$A$8:$B$18,2,FALSE),$D$26:$N$36,5,FALSE)</f>
        <v>#N/A</v>
      </c>
      <c r="V133" s="110" t="e">
        <f>VLOOKUP(VLOOKUP(2,'2nd Innings'!$A$8:$B$18,2,FALSE),$D$26:$N$36,6,FALSE)</f>
        <v>#N/A</v>
      </c>
      <c r="W133" s="110" t="e">
        <f>VLOOKUP(VLOOKUP(2,'2nd Innings'!$A$8:$B$18,2,FALSE),$D$26:$N$36,7,FALSE)</f>
        <v>#N/A</v>
      </c>
      <c r="X133" s="110" t="e">
        <f>VLOOKUP(VLOOKUP(2,'2nd Innings'!$A$8:$B$18,2,FALSE),$D$26:$N$36,10,FALSE)</f>
        <v>#N/A</v>
      </c>
      <c r="Y133" s="110" t="e">
        <f>VLOOKUP(VLOOKUP(2,'2nd Innings'!$A$8:$B$18,2,FALSE),$D$26:$N$36,11,FALSE)</f>
        <v>#N/A</v>
      </c>
      <c r="Z133" s="110">
        <f t="shared" si="6"/>
        <v>0</v>
      </c>
      <c r="AA133" s="110">
        <f t="shared" si="20"/>
        <v>0</v>
      </c>
      <c r="AB133" s="110">
        <f t="shared" si="21"/>
        <v>0</v>
      </c>
      <c r="AC133" s="110">
        <f t="shared" si="22"/>
        <v>0</v>
      </c>
      <c r="AD133" s="111" t="e">
        <f t="shared" si="7"/>
        <v>#DIV/0!</v>
      </c>
      <c r="AE133" s="111" t="e">
        <f t="shared" si="23"/>
        <v>#DIV/0!</v>
      </c>
      <c r="AF133" s="112" t="e">
        <f t="shared" si="24"/>
        <v>#DIV/0!</v>
      </c>
      <c r="AG133" s="113" t="e">
        <f t="shared" si="8"/>
        <v>#N/A</v>
      </c>
      <c r="AH133" s="114">
        <f t="shared" si="9"/>
        <v>0</v>
      </c>
      <c r="AI133" s="115" t="e">
        <f t="shared" si="25"/>
        <v>#DIV/0!</v>
      </c>
      <c r="AJ133" s="111" t="e">
        <f t="shared" si="26"/>
        <v>#DIV/0!</v>
      </c>
      <c r="AK133" s="111" t="e">
        <f t="shared" si="27"/>
        <v>#DIV/0!</v>
      </c>
      <c r="AL133" s="116" t="e">
        <f t="shared" si="10"/>
        <v>#N/A</v>
      </c>
      <c r="AM133" s="116" t="e">
        <f t="shared" si="32"/>
        <v>#N/A</v>
      </c>
      <c r="AN133" s="117" t="e">
        <f t="shared" si="33"/>
        <v>#N/A</v>
      </c>
      <c r="AO133" s="117" t="e">
        <f>(1-NORMDIST(AN133,$P$32,($P$32/4),TRUE))*(R133/($E$37+'2nd Innings'!$E$37))</f>
        <v>#N/A</v>
      </c>
      <c r="AP133" s="116" t="e">
        <f>(AO133/AO$143)*(200-(8*($H$37+'2nd Innings'!$H$37)))</f>
        <v>#N/A</v>
      </c>
      <c r="AQ133" s="111" t="e">
        <f t="shared" si="11"/>
        <v>#N/A</v>
      </c>
      <c r="AR133" s="110">
        <f>'2nd Innings'!$F$22</f>
        <v>0</v>
      </c>
      <c r="AS133" s="118">
        <f t="shared" si="52"/>
        <v>1</v>
      </c>
      <c r="AT133" s="166">
        <f t="shared" ref="AT133:AT142" si="53">B$4</f>
        <v>0</v>
      </c>
      <c r="AU133" s="110">
        <f>COUNTIFS($C$8:$C$18,"caught WK",$D$8:$D$18,VLOOKUP(2,'2nd Innings'!$A$8:$B$18,2,FALSE))+N133</f>
        <v>0</v>
      </c>
      <c r="AV133" s="57"/>
      <c r="AW133" s="57"/>
      <c r="AX133" s="57"/>
      <c r="AY133" s="57"/>
      <c r="AZ133" s="57"/>
      <c r="BA133" s="57"/>
      <c r="BB133" s="57"/>
      <c r="BC133" s="57"/>
      <c r="BD133" s="57"/>
      <c r="BE133" s="57"/>
      <c r="BF133" s="57"/>
      <c r="BG133" s="57"/>
      <c r="BH133" s="57"/>
      <c r="BI133" s="57"/>
      <c r="BJ133" s="57"/>
      <c r="BK133" s="57"/>
      <c r="BL133" s="57"/>
      <c r="BM133" s="57"/>
      <c r="BN133" s="57"/>
      <c r="BO133" s="57"/>
      <c r="BP133" s="57"/>
      <c r="BQ133" s="57"/>
      <c r="BR133" s="57"/>
      <c r="BS133" s="57"/>
      <c r="BT133" s="57"/>
    </row>
    <row r="134" spans="1:72" x14ac:dyDescent="0.25">
      <c r="A134" s="140">
        <f>'2nd Innings'!B10</f>
        <v>0</v>
      </c>
      <c r="B134" s="116">
        <f>'2nd Innings'!A10</f>
        <v>3</v>
      </c>
      <c r="C134" s="116">
        <v>1</v>
      </c>
      <c r="D134" s="116">
        <f>1-COUNTBLANK('2nd Innings'!C10)</f>
        <v>0</v>
      </c>
      <c r="E134" s="116">
        <f>COUNTIF('2nd Innings'!C10,"not out")</f>
        <v>0</v>
      </c>
      <c r="F134" s="116">
        <f>'2nd Innings'!F10</f>
        <v>0</v>
      </c>
      <c r="G134" s="116">
        <f>'2nd Innings'!G10</f>
        <v>0</v>
      </c>
      <c r="H134" s="141">
        <f>'2nd Innings'!I10</f>
        <v>0</v>
      </c>
      <c r="I134" s="116">
        <f>'2nd Innings'!J10</f>
        <v>0</v>
      </c>
      <c r="J134" s="116">
        <f>'2nd Innings'!K10</f>
        <v>0</v>
      </c>
      <c r="K134" s="110">
        <f>SUMIF('2nd Innings'!O8:O18,VLOOKUP(3,'2nd Innings'!A$8:B$18,2,FALSE),'2nd Innings'!Q$8:Q$18)+SUMIF('2nd Innings'!P$8:P$18,VLOOKUP(3,'2nd Innings'!A$8:B$18,2,FALSE),'2nd Innings'!Q$8:Q$18)</f>
        <v>0</v>
      </c>
      <c r="L134" s="110">
        <f>COUNTIFS($C$8:$C$18,"caught",$D$8:$D$18,VLOOKUP(3,'2nd Innings'!$A$8:$B$18,2,FALSE))+COUNTIFS($C$8:$C$18,"caught WK",$D$8:$D$18,VLOOKUP(3,'2nd Innings'!$A$8:$B$18,2,FALSE))</f>
        <v>0</v>
      </c>
      <c r="M134" s="110">
        <f>COUNTIFS($C$8:$C$18,"Run Out",$D$8:$D$18,VLOOKUP(3,'2nd Innings'!$A$8:$B$18,2,FALSE))</f>
        <v>0</v>
      </c>
      <c r="N134" s="110">
        <f>COUNTIFS($C$8:$C$18,"Stumped",$D$8:$D$18,VLOOKUP(3,'2nd Innings'!$A$8:$B$18,2,FALSE))</f>
        <v>0</v>
      </c>
      <c r="O134" s="110">
        <f t="shared" si="18"/>
        <v>0</v>
      </c>
      <c r="P134" s="110">
        <f t="shared" si="5"/>
        <v>0</v>
      </c>
      <c r="Q134" s="110">
        <f t="shared" si="19"/>
        <v>0</v>
      </c>
      <c r="R134" s="110" t="e">
        <f>VLOOKUP(VLOOKUP(3,'2nd Innings'!$A$8:$B$18,2,FALSE),$D$26:$N$36,2,FALSE)</f>
        <v>#N/A</v>
      </c>
      <c r="S134" s="110" t="e">
        <f>VLOOKUP(VLOOKUP(3,'2nd Innings'!$A$8:$B$18,2,FALSE),$D$26:$N$36,3,FALSE)</f>
        <v>#N/A</v>
      </c>
      <c r="T134" s="110" t="e">
        <f>VLOOKUP(VLOOKUP(3,'2nd Innings'!$A$8:$B$18,2,FALSE),$D$26:$N$36,4,FALSE)</f>
        <v>#N/A</v>
      </c>
      <c r="U134" s="110" t="e">
        <f>VLOOKUP(VLOOKUP(3,'2nd Innings'!$A$8:$B$18,2,FALSE),$D$26:$N$36,5,FALSE)</f>
        <v>#N/A</v>
      </c>
      <c r="V134" s="110" t="e">
        <f>VLOOKUP(VLOOKUP(3,'2nd Innings'!$A$8:$B$18,2,FALSE),$D$26:$N$36,6,FALSE)</f>
        <v>#N/A</v>
      </c>
      <c r="W134" s="110" t="e">
        <f>VLOOKUP(VLOOKUP(3,'2nd Innings'!$A$8:$B$18,2,FALSE),$D$26:$N$36,7,FALSE)</f>
        <v>#N/A</v>
      </c>
      <c r="X134" s="110" t="e">
        <f>VLOOKUP(VLOOKUP(3,'2nd Innings'!$A$8:$B$18,2,FALSE),$D$26:$N$36,10,FALSE)</f>
        <v>#N/A</v>
      </c>
      <c r="Y134" s="110" t="e">
        <f>VLOOKUP(VLOOKUP(3,'2nd Innings'!$A$8:$B$18,2,FALSE),$D$26:$N$36,11,FALSE)</f>
        <v>#N/A</v>
      </c>
      <c r="Z134" s="110">
        <f t="shared" si="6"/>
        <v>0</v>
      </c>
      <c r="AA134" s="110">
        <f t="shared" si="20"/>
        <v>0</v>
      </c>
      <c r="AB134" s="110">
        <f t="shared" si="21"/>
        <v>0</v>
      </c>
      <c r="AC134" s="110">
        <f t="shared" si="22"/>
        <v>0</v>
      </c>
      <c r="AD134" s="111" t="e">
        <f t="shared" si="7"/>
        <v>#DIV/0!</v>
      </c>
      <c r="AE134" s="111" t="e">
        <f t="shared" si="23"/>
        <v>#DIV/0!</v>
      </c>
      <c r="AF134" s="112" t="e">
        <f t="shared" si="24"/>
        <v>#DIV/0!</v>
      </c>
      <c r="AG134" s="113" t="e">
        <f t="shared" si="8"/>
        <v>#N/A</v>
      </c>
      <c r="AH134" s="114">
        <f t="shared" si="9"/>
        <v>0</v>
      </c>
      <c r="AI134" s="115" t="e">
        <f t="shared" si="25"/>
        <v>#DIV/0!</v>
      </c>
      <c r="AJ134" s="111" t="e">
        <f t="shared" si="26"/>
        <v>#DIV/0!</v>
      </c>
      <c r="AK134" s="111" t="e">
        <f t="shared" si="27"/>
        <v>#DIV/0!</v>
      </c>
      <c r="AL134" s="116" t="e">
        <f t="shared" si="10"/>
        <v>#N/A</v>
      </c>
      <c r="AM134" s="116" t="e">
        <f t="shared" si="32"/>
        <v>#N/A</v>
      </c>
      <c r="AN134" s="117" t="e">
        <f t="shared" si="33"/>
        <v>#N/A</v>
      </c>
      <c r="AO134" s="117" t="e">
        <f>(1-NORMDIST(AN134,$P$32,($P$32/4),TRUE))*(R134/($E$37+'2nd Innings'!$E$37))</f>
        <v>#N/A</v>
      </c>
      <c r="AP134" s="116" t="e">
        <f>(AO134/AO$143)*(200-(8*($H$37+'2nd Innings'!$H$37)))</f>
        <v>#N/A</v>
      </c>
      <c r="AQ134" s="111" t="e">
        <f t="shared" si="11"/>
        <v>#N/A</v>
      </c>
      <c r="AR134" s="110">
        <f>'2nd Innings'!$F$22</f>
        <v>0</v>
      </c>
      <c r="AS134" s="118">
        <f t="shared" si="52"/>
        <v>1</v>
      </c>
      <c r="AT134" s="166">
        <f t="shared" si="53"/>
        <v>0</v>
      </c>
      <c r="AU134" s="110">
        <f>COUNTIFS($C$8:$C$18,"caught WK",$D$8:$D$18,VLOOKUP(3,'2nd Innings'!$A$8:$B$18,2,FALSE))+N134</f>
        <v>0</v>
      </c>
      <c r="AV134" s="57"/>
      <c r="AW134" s="57"/>
      <c r="AX134" s="57"/>
      <c r="AY134" s="57"/>
      <c r="AZ134" s="57"/>
      <c r="BA134" s="57"/>
      <c r="BB134" s="57"/>
      <c r="BC134" s="57"/>
      <c r="BD134" s="57"/>
      <c r="BE134" s="57"/>
      <c r="BF134" s="57"/>
      <c r="BG134" s="57"/>
      <c r="BH134" s="57"/>
      <c r="BI134" s="57"/>
      <c r="BJ134" s="57"/>
      <c r="BK134" s="57"/>
      <c r="BL134" s="57"/>
      <c r="BM134" s="57"/>
      <c r="BN134" s="57"/>
      <c r="BO134" s="57"/>
      <c r="BP134" s="57"/>
      <c r="BQ134" s="57"/>
      <c r="BR134" s="57"/>
      <c r="BS134" s="57"/>
      <c r="BT134" s="57"/>
    </row>
    <row r="135" spans="1:72" x14ac:dyDescent="0.25">
      <c r="A135" s="140">
        <f>'2nd Innings'!B11</f>
        <v>0</v>
      </c>
      <c r="B135" s="116">
        <f>'2nd Innings'!A11</f>
        <v>4</v>
      </c>
      <c r="C135" s="116">
        <v>1</v>
      </c>
      <c r="D135" s="116">
        <f>1-COUNTBLANK('2nd Innings'!C11)</f>
        <v>0</v>
      </c>
      <c r="E135" s="116">
        <f>COUNTIF('2nd Innings'!C11,"not out")</f>
        <v>0</v>
      </c>
      <c r="F135" s="116">
        <f>'2nd Innings'!F11</f>
        <v>0</v>
      </c>
      <c r="G135" s="116">
        <f>'2nd Innings'!G11</f>
        <v>0</v>
      </c>
      <c r="H135" s="141">
        <f>'2nd Innings'!I11</f>
        <v>0</v>
      </c>
      <c r="I135" s="116">
        <f>'2nd Innings'!J11</f>
        <v>0</v>
      </c>
      <c r="J135" s="116">
        <f>'2nd Innings'!K11</f>
        <v>0</v>
      </c>
      <c r="K135" s="110">
        <f>SUMIF('2nd Innings'!O8:O18,VLOOKUP(4,'2nd Innings'!A$8:B$18,2,FALSE),'2nd Innings'!Q$8:Q$18)+SUMIF('2nd Innings'!P$8:P$18,VLOOKUP(4,'2nd Innings'!A$8:B$18,2,FALSE),'2nd Innings'!Q$8:Q$18)</f>
        <v>0</v>
      </c>
      <c r="L135" s="110">
        <f>COUNTIFS($C$8:$C$18,"caught",$D$8:$D$18,VLOOKUP(4,'2nd Innings'!$A$8:$B$18,2,FALSE))+COUNTIFS($C$8:$C$18,"caught WK",$D$8:$D$18,VLOOKUP(4,'2nd Innings'!$A$8:$B$18,2,FALSE))</f>
        <v>0</v>
      </c>
      <c r="M135" s="110">
        <f>COUNTIFS($C$8:$C$18,"Run Out",$D$8:$D$18,VLOOKUP(4,'2nd Innings'!$A$8:$B$18,2,FALSE))</f>
        <v>0</v>
      </c>
      <c r="N135" s="110">
        <f>COUNTIFS($C$8:$C$18,"Stumped",$D$8:$D$18,VLOOKUP(4,'2nd Innings'!$A$8:$B$18,2,FALSE))</f>
        <v>0</v>
      </c>
      <c r="O135" s="110">
        <f t="shared" si="18"/>
        <v>0</v>
      </c>
      <c r="P135" s="110">
        <f t="shared" si="5"/>
        <v>0</v>
      </c>
      <c r="Q135" s="110">
        <f t="shared" si="19"/>
        <v>0</v>
      </c>
      <c r="R135" s="110" t="e">
        <f>VLOOKUP(VLOOKUP(4,'2nd Innings'!$A$8:$B$18,2,FALSE),$D$26:$N$36,2,FALSE)</f>
        <v>#N/A</v>
      </c>
      <c r="S135" s="110" t="e">
        <f>VLOOKUP(VLOOKUP(4,'2nd Innings'!$A$8:$B$18,2,FALSE),$D$26:$N$36,3,FALSE)</f>
        <v>#N/A</v>
      </c>
      <c r="T135" s="110" t="e">
        <f>VLOOKUP(VLOOKUP(4,'2nd Innings'!$A$8:$B$18,2,FALSE),$D$26:$N$36,4,FALSE)</f>
        <v>#N/A</v>
      </c>
      <c r="U135" s="110" t="e">
        <f>VLOOKUP(VLOOKUP(4,'2nd Innings'!$A$8:$B$18,2,FALSE),$D$26:$N$36,5,FALSE)</f>
        <v>#N/A</v>
      </c>
      <c r="V135" s="110" t="e">
        <f>VLOOKUP(VLOOKUP(4,'2nd Innings'!$A$8:$B$18,2,FALSE),$D$26:$N$36,6,FALSE)</f>
        <v>#N/A</v>
      </c>
      <c r="W135" s="110" t="e">
        <f>VLOOKUP(VLOOKUP(4,'2nd Innings'!$A$8:$B$18,2,FALSE),$D$26:$N$36,7,FALSE)</f>
        <v>#N/A</v>
      </c>
      <c r="X135" s="110" t="e">
        <f>VLOOKUP(VLOOKUP(4,'2nd Innings'!$A$8:$B$18,2,FALSE),$D$26:$N$36,10,FALSE)</f>
        <v>#N/A</v>
      </c>
      <c r="Y135" s="110" t="e">
        <f>VLOOKUP(VLOOKUP(4,'2nd Innings'!$A$8:$B$18,2,FALSE),$D$26:$N$36,11,FALSE)</f>
        <v>#N/A</v>
      </c>
      <c r="Z135" s="110">
        <f t="shared" si="6"/>
        <v>0</v>
      </c>
      <c r="AA135" s="110">
        <f t="shared" si="20"/>
        <v>0</v>
      </c>
      <c r="AB135" s="110">
        <f t="shared" si="21"/>
        <v>0</v>
      </c>
      <c r="AC135" s="110">
        <f t="shared" si="22"/>
        <v>0</v>
      </c>
      <c r="AD135" s="111" t="e">
        <f t="shared" si="7"/>
        <v>#DIV/0!</v>
      </c>
      <c r="AE135" s="111" t="e">
        <f t="shared" si="23"/>
        <v>#DIV/0!</v>
      </c>
      <c r="AF135" s="112" t="e">
        <f t="shared" si="24"/>
        <v>#DIV/0!</v>
      </c>
      <c r="AG135" s="113" t="e">
        <f t="shared" si="8"/>
        <v>#N/A</v>
      </c>
      <c r="AH135" s="114">
        <f t="shared" si="9"/>
        <v>0</v>
      </c>
      <c r="AI135" s="115" t="e">
        <f t="shared" si="25"/>
        <v>#DIV/0!</v>
      </c>
      <c r="AJ135" s="111" t="e">
        <f t="shared" si="26"/>
        <v>#DIV/0!</v>
      </c>
      <c r="AK135" s="111" t="e">
        <f t="shared" si="27"/>
        <v>#DIV/0!</v>
      </c>
      <c r="AL135" s="116" t="e">
        <f t="shared" si="10"/>
        <v>#N/A</v>
      </c>
      <c r="AM135" s="116" t="e">
        <f t="shared" si="32"/>
        <v>#N/A</v>
      </c>
      <c r="AN135" s="117" t="e">
        <f t="shared" si="33"/>
        <v>#N/A</v>
      </c>
      <c r="AO135" s="117" t="e">
        <f>(1-NORMDIST(AN135,$P$32,($P$32/4),TRUE))*(R135/($E$37+'2nd Innings'!$E$37))</f>
        <v>#N/A</v>
      </c>
      <c r="AP135" s="116" t="e">
        <f>(AO135/AO$143)*(200-(8*($H$37+'2nd Innings'!$H$37)))</f>
        <v>#N/A</v>
      </c>
      <c r="AQ135" s="111" t="e">
        <f t="shared" si="11"/>
        <v>#N/A</v>
      </c>
      <c r="AR135" s="110">
        <f>'2nd Innings'!$F$22</f>
        <v>0</v>
      </c>
      <c r="AS135" s="118">
        <f t="shared" si="52"/>
        <v>1</v>
      </c>
      <c r="AT135" s="166">
        <f t="shared" si="53"/>
        <v>0</v>
      </c>
      <c r="AU135" s="110">
        <f>COUNTIFS($C$8:$C$18,"caught WK",$D$8:$D$18,VLOOKUP(4,'2nd Innings'!$A$8:$B$18,2,FALSE))+N135</f>
        <v>0</v>
      </c>
      <c r="AV135" s="57"/>
      <c r="AW135" s="57"/>
      <c r="AX135" s="57"/>
      <c r="AY135" s="57"/>
      <c r="AZ135" s="57"/>
      <c r="BA135" s="57"/>
      <c r="BB135" s="57"/>
      <c r="BC135" s="57"/>
      <c r="BD135" s="57"/>
      <c r="BE135" s="57"/>
      <c r="BF135" s="57"/>
      <c r="BG135" s="57"/>
      <c r="BH135" s="57"/>
      <c r="BI135" s="57"/>
      <c r="BJ135" s="57"/>
      <c r="BK135" s="57"/>
      <c r="BL135" s="57"/>
      <c r="BM135" s="57"/>
      <c r="BN135" s="57"/>
      <c r="BO135" s="57"/>
      <c r="BP135" s="57"/>
      <c r="BQ135" s="57"/>
      <c r="BR135" s="57"/>
      <c r="BS135" s="57"/>
      <c r="BT135" s="57"/>
    </row>
    <row r="136" spans="1:72" x14ac:dyDescent="0.25">
      <c r="A136" s="140">
        <f>'2nd Innings'!B12</f>
        <v>0</v>
      </c>
      <c r="B136" s="116">
        <f>'2nd Innings'!A12</f>
        <v>5</v>
      </c>
      <c r="C136" s="116">
        <v>1</v>
      </c>
      <c r="D136" s="116">
        <f>1-COUNTBLANK('2nd Innings'!C12)</f>
        <v>0</v>
      </c>
      <c r="E136" s="116">
        <f>COUNTIF('2nd Innings'!C12,"not out")</f>
        <v>0</v>
      </c>
      <c r="F136" s="116">
        <f>'2nd Innings'!F12</f>
        <v>0</v>
      </c>
      <c r="G136" s="116">
        <f>'2nd Innings'!G12</f>
        <v>0</v>
      </c>
      <c r="H136" s="141">
        <f>'2nd Innings'!I12</f>
        <v>0</v>
      </c>
      <c r="I136" s="116">
        <f>'2nd Innings'!J12</f>
        <v>0</v>
      </c>
      <c r="J136" s="116">
        <f>'2nd Innings'!K12</f>
        <v>0</v>
      </c>
      <c r="K136" s="110">
        <f>SUMIF('2nd Innings'!O8:O18,VLOOKUP(5,'2nd Innings'!A$8:B$18,2,FALSE),'2nd Innings'!Q$8:Q$18)+SUMIF('2nd Innings'!P$8:P$18,VLOOKUP(5,'2nd Innings'!A$8:B$18,2,FALSE),'2nd Innings'!Q$8:Q$18)</f>
        <v>0</v>
      </c>
      <c r="L136" s="110">
        <f>COUNTIFS($C$8:$C$18,"caught",$D$8:$D$18,VLOOKUP(5,'2nd Innings'!$A$8:$B$18,2,FALSE))+COUNTIFS($C$8:$C$18,"caught WK",$D$8:$D$18,VLOOKUP(5,'2nd Innings'!$A$8:$B$18,2,FALSE))</f>
        <v>0</v>
      </c>
      <c r="M136" s="110">
        <f>COUNTIFS($C$8:$C$18,"Run Out",$D$8:$D$18,VLOOKUP(5,'2nd Innings'!$A$8:$B$18,2,FALSE))</f>
        <v>0</v>
      </c>
      <c r="N136" s="110">
        <f>COUNTIFS($C$8:$C$18,"Stumped",$D$8:$D$18,VLOOKUP(5,'2nd Innings'!$A$8:$B$18,2,FALSE))</f>
        <v>0</v>
      </c>
      <c r="O136" s="110">
        <f t="shared" si="18"/>
        <v>0</v>
      </c>
      <c r="P136" s="110">
        <f t="shared" si="5"/>
        <v>0</v>
      </c>
      <c r="Q136" s="110">
        <f t="shared" si="19"/>
        <v>0</v>
      </c>
      <c r="R136" s="110" t="e">
        <f>VLOOKUP(VLOOKUP(5,'2nd Innings'!$A$8:$B$18,2,FALSE),$D$26:$N$36,2,FALSE)</f>
        <v>#N/A</v>
      </c>
      <c r="S136" s="110" t="e">
        <f>VLOOKUP(VLOOKUP(5,'2nd Innings'!$A$8:$B$18,2,FALSE),$D$26:$N$36,3,FALSE)</f>
        <v>#N/A</v>
      </c>
      <c r="T136" s="110" t="e">
        <f>VLOOKUP(VLOOKUP(5,'2nd Innings'!$A$8:$B$18,2,FALSE),$D$26:$N$36,4,FALSE)</f>
        <v>#N/A</v>
      </c>
      <c r="U136" s="110" t="e">
        <f>VLOOKUP(VLOOKUP(5,'2nd Innings'!$A$8:$B$18,2,FALSE),$D$26:$N$36,5,FALSE)</f>
        <v>#N/A</v>
      </c>
      <c r="V136" s="110" t="e">
        <f>VLOOKUP(VLOOKUP(5,'2nd Innings'!$A$8:$B$18,2,FALSE),$D$26:$N$36,6,FALSE)</f>
        <v>#N/A</v>
      </c>
      <c r="W136" s="110" t="e">
        <f>VLOOKUP(VLOOKUP(5,'2nd Innings'!$A$8:$B$18,2,FALSE),$D$26:$N$36,7,FALSE)</f>
        <v>#N/A</v>
      </c>
      <c r="X136" s="110" t="e">
        <f>VLOOKUP(VLOOKUP(5,'2nd Innings'!$A$8:$B$18,2,FALSE),$D$26:$N$36,10,FALSE)</f>
        <v>#N/A</v>
      </c>
      <c r="Y136" s="110" t="e">
        <f>VLOOKUP(VLOOKUP(5,'2nd Innings'!$A$8:$B$18,2,FALSE),$D$26:$N$36,11,FALSE)</f>
        <v>#N/A</v>
      </c>
      <c r="Z136" s="110">
        <f t="shared" si="6"/>
        <v>0</v>
      </c>
      <c r="AA136" s="110">
        <f t="shared" si="20"/>
        <v>0</v>
      </c>
      <c r="AB136" s="110">
        <f t="shared" si="21"/>
        <v>0</v>
      </c>
      <c r="AC136" s="110">
        <f t="shared" si="22"/>
        <v>0</v>
      </c>
      <c r="AD136" s="111" t="e">
        <f t="shared" si="7"/>
        <v>#DIV/0!</v>
      </c>
      <c r="AE136" s="111" t="e">
        <f t="shared" si="23"/>
        <v>#DIV/0!</v>
      </c>
      <c r="AF136" s="112" t="e">
        <f t="shared" si="24"/>
        <v>#DIV/0!</v>
      </c>
      <c r="AG136" s="113" t="e">
        <f t="shared" si="8"/>
        <v>#N/A</v>
      </c>
      <c r="AH136" s="114">
        <f t="shared" si="9"/>
        <v>0</v>
      </c>
      <c r="AI136" s="115" t="e">
        <f t="shared" si="25"/>
        <v>#DIV/0!</v>
      </c>
      <c r="AJ136" s="111" t="e">
        <f t="shared" si="26"/>
        <v>#DIV/0!</v>
      </c>
      <c r="AK136" s="111" t="e">
        <f t="shared" si="27"/>
        <v>#DIV/0!</v>
      </c>
      <c r="AL136" s="116" t="e">
        <f t="shared" si="10"/>
        <v>#N/A</v>
      </c>
      <c r="AM136" s="116" t="e">
        <f t="shared" si="32"/>
        <v>#N/A</v>
      </c>
      <c r="AN136" s="117" t="e">
        <f t="shared" si="33"/>
        <v>#N/A</v>
      </c>
      <c r="AO136" s="117" t="e">
        <f>(1-NORMDIST(AN136,$P$32,($P$32/4),TRUE))*(R136/($E$37+'2nd Innings'!$E$37))</f>
        <v>#N/A</v>
      </c>
      <c r="AP136" s="116" t="e">
        <f>(AO136/AO$143)*(200-(8*($H$37+'2nd Innings'!$H$37)))</f>
        <v>#N/A</v>
      </c>
      <c r="AQ136" s="111" t="e">
        <f t="shared" si="11"/>
        <v>#N/A</v>
      </c>
      <c r="AR136" s="110">
        <f>'2nd Innings'!$F$22</f>
        <v>0</v>
      </c>
      <c r="AS136" s="118">
        <f t="shared" si="52"/>
        <v>1</v>
      </c>
      <c r="AT136" s="166">
        <f t="shared" si="53"/>
        <v>0</v>
      </c>
      <c r="AU136" s="110">
        <f>COUNTIFS($C$8:$C$18,"caught WK",$D$8:$D$18,VLOOKUP(5,'2nd Innings'!$A$8:$B$18,2,FALSE))+N136</f>
        <v>0</v>
      </c>
      <c r="AV136" s="57"/>
      <c r="AW136" s="57"/>
      <c r="AX136" s="57"/>
      <c r="AY136" s="57"/>
      <c r="AZ136" s="57"/>
      <c r="BA136" s="57"/>
      <c r="BB136" s="57"/>
      <c r="BC136" s="57"/>
      <c r="BD136" s="57"/>
      <c r="BE136" s="57"/>
      <c r="BF136" s="57"/>
      <c r="BG136" s="57"/>
      <c r="BH136" s="57"/>
      <c r="BI136" s="57"/>
      <c r="BJ136" s="57"/>
      <c r="BK136" s="57"/>
      <c r="BL136" s="57"/>
      <c r="BM136" s="57"/>
      <c r="BN136" s="57"/>
      <c r="BO136" s="57"/>
      <c r="BP136" s="57"/>
      <c r="BQ136" s="57"/>
      <c r="BR136" s="57"/>
      <c r="BS136" s="57"/>
      <c r="BT136" s="57"/>
    </row>
    <row r="137" spans="1:72" x14ac:dyDescent="0.25">
      <c r="A137" s="140">
        <f>'2nd Innings'!B13</f>
        <v>0</v>
      </c>
      <c r="B137" s="116">
        <f>'2nd Innings'!A13</f>
        <v>6</v>
      </c>
      <c r="C137" s="116">
        <v>1</v>
      </c>
      <c r="D137" s="116">
        <f>1-COUNTBLANK('2nd Innings'!C13)</f>
        <v>0</v>
      </c>
      <c r="E137" s="116">
        <f>COUNTIF('2nd Innings'!C13,"not out")</f>
        <v>0</v>
      </c>
      <c r="F137" s="116">
        <f>'2nd Innings'!F13</f>
        <v>0</v>
      </c>
      <c r="G137" s="116">
        <f>'2nd Innings'!G13</f>
        <v>0</v>
      </c>
      <c r="H137" s="141">
        <f>'2nd Innings'!I13</f>
        <v>0</v>
      </c>
      <c r="I137" s="116">
        <f>'2nd Innings'!J13</f>
        <v>0</v>
      </c>
      <c r="J137" s="116">
        <f>'2nd Innings'!K13</f>
        <v>0</v>
      </c>
      <c r="K137" s="110">
        <f>SUMIF('2nd Innings'!O8:O18,VLOOKUP(6,'2nd Innings'!A$8:B$18,2,FALSE),'2nd Innings'!Q$8:Q$18)+SUMIF('2nd Innings'!P$8:P$18,VLOOKUP(6,'2nd Innings'!A$8:B$18,2,FALSE),'2nd Innings'!Q$8:Q$18)</f>
        <v>0</v>
      </c>
      <c r="L137" s="110">
        <f>COUNTIFS($C$8:$C$18,"caught",$D$8:$D$18,VLOOKUP(6,'2nd Innings'!$A$8:$B$18,2,FALSE))+COUNTIFS($C$8:$C$18,"caught WK",$D$8:$D$18,VLOOKUP(6,'2nd Innings'!$A$8:$B$18,2,FALSE))</f>
        <v>0</v>
      </c>
      <c r="M137" s="110">
        <f>COUNTIFS($C$8:$C$18,"Run Out",$D$8:$D$18,VLOOKUP(6,'2nd Innings'!$A$8:$B$18,2,FALSE))</f>
        <v>0</v>
      </c>
      <c r="N137" s="110">
        <f>COUNTIFS($C$8:$C$18,"Stumped",$D$8:$D$18,VLOOKUP(6,'2nd Innings'!$A$8:$B$18,2,FALSE))</f>
        <v>0</v>
      </c>
      <c r="O137" s="110">
        <f t="shared" si="18"/>
        <v>0</v>
      </c>
      <c r="P137" s="110">
        <f t="shared" si="5"/>
        <v>0</v>
      </c>
      <c r="Q137" s="110">
        <f t="shared" si="19"/>
        <v>0</v>
      </c>
      <c r="R137" s="110" t="e">
        <f>VLOOKUP(VLOOKUP(6,'2nd Innings'!$A$8:$B$18,2,FALSE),$D$26:$N$36,2,FALSE)</f>
        <v>#N/A</v>
      </c>
      <c r="S137" s="110" t="e">
        <f>VLOOKUP(VLOOKUP(6,'2nd Innings'!$A$8:$B$18,2,FALSE),$D$26:$N$36,3,FALSE)</f>
        <v>#N/A</v>
      </c>
      <c r="T137" s="110" t="e">
        <f>VLOOKUP(VLOOKUP(6,'2nd Innings'!$A$8:$B$18,2,FALSE),$D$26:$N$36,4,FALSE)</f>
        <v>#N/A</v>
      </c>
      <c r="U137" s="110" t="e">
        <f>VLOOKUP(VLOOKUP(6,'2nd Innings'!$A$8:$B$18,2,FALSE),$D$26:$N$36,5,FALSE)</f>
        <v>#N/A</v>
      </c>
      <c r="V137" s="110" t="e">
        <f>VLOOKUP(VLOOKUP(6,'2nd Innings'!$A$8:$B$18,2,FALSE),$D$26:$N$36,6,FALSE)</f>
        <v>#N/A</v>
      </c>
      <c r="W137" s="110" t="e">
        <f>VLOOKUP(VLOOKUP(6,'2nd Innings'!$A$8:$B$18,2,FALSE),$D$26:$N$36,7,FALSE)</f>
        <v>#N/A</v>
      </c>
      <c r="X137" s="110" t="e">
        <f>VLOOKUP(VLOOKUP(6,'2nd Innings'!$A$8:$B$18,2,FALSE),$D$26:$N$36,10,FALSE)</f>
        <v>#N/A</v>
      </c>
      <c r="Y137" s="110" t="e">
        <f>VLOOKUP(VLOOKUP(6,'2nd Innings'!$A$8:$B$18,2,FALSE),$D$26:$N$36,11,FALSE)</f>
        <v>#N/A</v>
      </c>
      <c r="Z137" s="110">
        <f t="shared" si="6"/>
        <v>0</v>
      </c>
      <c r="AA137" s="110">
        <f t="shared" si="20"/>
        <v>0</v>
      </c>
      <c r="AB137" s="110">
        <f t="shared" si="21"/>
        <v>0</v>
      </c>
      <c r="AC137" s="110">
        <f t="shared" si="22"/>
        <v>0</v>
      </c>
      <c r="AD137" s="111" t="e">
        <f t="shared" si="7"/>
        <v>#DIV/0!</v>
      </c>
      <c r="AE137" s="111" t="e">
        <f t="shared" si="23"/>
        <v>#DIV/0!</v>
      </c>
      <c r="AF137" s="112" t="e">
        <f t="shared" si="24"/>
        <v>#DIV/0!</v>
      </c>
      <c r="AG137" s="113" t="e">
        <f t="shared" si="8"/>
        <v>#N/A</v>
      </c>
      <c r="AH137" s="114">
        <f t="shared" si="9"/>
        <v>0</v>
      </c>
      <c r="AI137" s="115" t="e">
        <f t="shared" si="25"/>
        <v>#DIV/0!</v>
      </c>
      <c r="AJ137" s="111" t="e">
        <f t="shared" si="26"/>
        <v>#DIV/0!</v>
      </c>
      <c r="AK137" s="111" t="e">
        <f t="shared" si="27"/>
        <v>#DIV/0!</v>
      </c>
      <c r="AL137" s="116" t="e">
        <f t="shared" si="10"/>
        <v>#N/A</v>
      </c>
      <c r="AM137" s="116" t="e">
        <f t="shared" si="32"/>
        <v>#N/A</v>
      </c>
      <c r="AN137" s="117" t="e">
        <f t="shared" si="33"/>
        <v>#N/A</v>
      </c>
      <c r="AO137" s="117" t="e">
        <f>(1-NORMDIST(AN137,$P$32,($P$32/4),TRUE))*(R137/($E$37+'2nd Innings'!$E$37))</f>
        <v>#N/A</v>
      </c>
      <c r="AP137" s="116" t="e">
        <f>(AO137/AO$143)*(200-(8*($H$37+'2nd Innings'!$H$37)))</f>
        <v>#N/A</v>
      </c>
      <c r="AQ137" s="111" t="e">
        <f t="shared" si="11"/>
        <v>#N/A</v>
      </c>
      <c r="AR137" s="110">
        <f>'2nd Innings'!$F$22</f>
        <v>0</v>
      </c>
      <c r="AS137" s="118">
        <f t="shared" si="52"/>
        <v>1</v>
      </c>
      <c r="AT137" s="166">
        <f t="shared" si="53"/>
        <v>0</v>
      </c>
      <c r="AU137" s="110">
        <f>COUNTIFS($C$8:$C$18,"caught WK",$D$8:$D$18,VLOOKUP(6,'2nd Innings'!$A$8:$B$18,2,FALSE))+N137</f>
        <v>0</v>
      </c>
      <c r="AV137" s="57"/>
      <c r="AW137" s="57"/>
      <c r="AX137" s="57"/>
      <c r="AY137" s="57"/>
      <c r="AZ137" s="57"/>
      <c r="BA137" s="57"/>
      <c r="BB137" s="57"/>
      <c r="BC137" s="57"/>
      <c r="BD137" s="57"/>
      <c r="BE137" s="57"/>
      <c r="BF137" s="57"/>
      <c r="BG137" s="57"/>
      <c r="BH137" s="57"/>
      <c r="BI137" s="57"/>
      <c r="BJ137" s="57"/>
      <c r="BK137" s="57"/>
      <c r="BL137" s="57"/>
      <c r="BM137" s="57"/>
      <c r="BN137" s="57"/>
      <c r="BO137" s="57"/>
      <c r="BP137" s="57"/>
      <c r="BQ137" s="57"/>
      <c r="BR137" s="57"/>
      <c r="BS137" s="57"/>
      <c r="BT137" s="57"/>
    </row>
    <row r="138" spans="1:72" x14ac:dyDescent="0.25">
      <c r="A138" s="140">
        <f>'2nd Innings'!B14</f>
        <v>0</v>
      </c>
      <c r="B138" s="116">
        <f>'2nd Innings'!A14</f>
        <v>7</v>
      </c>
      <c r="C138" s="116">
        <v>1</v>
      </c>
      <c r="D138" s="116">
        <f>1-COUNTBLANK('2nd Innings'!C14)</f>
        <v>0</v>
      </c>
      <c r="E138" s="116">
        <f>COUNTIF('2nd Innings'!C14,"not out")</f>
        <v>0</v>
      </c>
      <c r="F138" s="116">
        <f>'2nd Innings'!F14</f>
        <v>0</v>
      </c>
      <c r="G138" s="116">
        <f>'2nd Innings'!G14</f>
        <v>0</v>
      </c>
      <c r="H138" s="141">
        <f>'2nd Innings'!I14</f>
        <v>0</v>
      </c>
      <c r="I138" s="116">
        <f>'2nd Innings'!J14</f>
        <v>0</v>
      </c>
      <c r="J138" s="116">
        <f>'2nd Innings'!K14</f>
        <v>0</v>
      </c>
      <c r="K138" s="110">
        <f>SUMIF('2nd Innings'!O8:O18,VLOOKUP(7,'2nd Innings'!A$8:B$18,2,FALSE),'2nd Innings'!Q$8:Q$18)+SUMIF('2nd Innings'!P$8:P$18,VLOOKUP(7,'2nd Innings'!A$8:B$18,2,FALSE),'2nd Innings'!Q$8:Q$18)</f>
        <v>0</v>
      </c>
      <c r="L138" s="110">
        <f>COUNTIFS($C$8:$C$18,"caught",$D$8:$D$18,VLOOKUP(7,'2nd Innings'!$A$8:$B$18,2,FALSE))+COUNTIFS($C$8:$C$18,"caught WK",$D$8:$D$18,VLOOKUP(7,'2nd Innings'!$A$8:$B$18,2,FALSE))</f>
        <v>0</v>
      </c>
      <c r="M138" s="110">
        <f>COUNTIFS($C$8:$C$18,"Run Out",$D$8:$D$18,VLOOKUP(7,'2nd Innings'!$A$8:$B$18,2,FALSE))</f>
        <v>0</v>
      </c>
      <c r="N138" s="110">
        <f>COUNTIFS($C$8:$C$18,"Stumped",$D$8:$D$18,VLOOKUP(7,'2nd Innings'!$A$8:$B$18,2,FALSE))</f>
        <v>0</v>
      </c>
      <c r="O138" s="110">
        <f t="shared" si="18"/>
        <v>0</v>
      </c>
      <c r="P138" s="110">
        <f t="shared" si="5"/>
        <v>0</v>
      </c>
      <c r="Q138" s="110">
        <f t="shared" si="19"/>
        <v>0</v>
      </c>
      <c r="R138" s="110" t="e">
        <f>VLOOKUP(VLOOKUP(7,'2nd Innings'!$A$8:$B$18,2,FALSE),$D$26:$N$36,2,FALSE)</f>
        <v>#N/A</v>
      </c>
      <c r="S138" s="110" t="e">
        <f>VLOOKUP(VLOOKUP(7,'2nd Innings'!$A$8:$B$18,2,FALSE),$D$26:$N$36,3,FALSE)</f>
        <v>#N/A</v>
      </c>
      <c r="T138" s="110" t="e">
        <f>VLOOKUP(VLOOKUP(7,'2nd Innings'!$A$8:$B$18,2,FALSE),$D$26:$N$36,4,FALSE)</f>
        <v>#N/A</v>
      </c>
      <c r="U138" s="110" t="e">
        <f>VLOOKUP(VLOOKUP(7,'2nd Innings'!$A$8:$B$18,2,FALSE),$D$26:$N$36,5,FALSE)</f>
        <v>#N/A</v>
      </c>
      <c r="V138" s="110" t="e">
        <f>VLOOKUP(VLOOKUP(7,'2nd Innings'!$A$8:$B$18,2,FALSE),$D$26:$N$36,6,FALSE)</f>
        <v>#N/A</v>
      </c>
      <c r="W138" s="110" t="e">
        <f>VLOOKUP(VLOOKUP(7,'2nd Innings'!$A$8:$B$18,2,FALSE),$D$26:$N$36,7,FALSE)</f>
        <v>#N/A</v>
      </c>
      <c r="X138" s="110" t="e">
        <f>VLOOKUP(VLOOKUP(7,'2nd Innings'!$A$8:$B$18,2,FALSE),$D$26:$N$36,10,FALSE)</f>
        <v>#N/A</v>
      </c>
      <c r="Y138" s="110" t="e">
        <f>VLOOKUP(VLOOKUP(7,'2nd Innings'!$A$8:$B$18,2,FALSE),$D$26:$N$36,11,FALSE)</f>
        <v>#N/A</v>
      </c>
      <c r="Z138" s="110">
        <f t="shared" si="6"/>
        <v>0</v>
      </c>
      <c r="AA138" s="110">
        <f t="shared" si="20"/>
        <v>0</v>
      </c>
      <c r="AB138" s="110">
        <f t="shared" si="21"/>
        <v>0</v>
      </c>
      <c r="AC138" s="110">
        <f t="shared" si="22"/>
        <v>0</v>
      </c>
      <c r="AD138" s="111" t="e">
        <f t="shared" si="7"/>
        <v>#DIV/0!</v>
      </c>
      <c r="AE138" s="111" t="e">
        <f t="shared" si="23"/>
        <v>#DIV/0!</v>
      </c>
      <c r="AF138" s="112" t="e">
        <f t="shared" si="24"/>
        <v>#DIV/0!</v>
      </c>
      <c r="AG138" s="113" t="e">
        <f t="shared" si="8"/>
        <v>#N/A</v>
      </c>
      <c r="AH138" s="114">
        <f t="shared" si="9"/>
        <v>0</v>
      </c>
      <c r="AI138" s="115" t="e">
        <f t="shared" si="25"/>
        <v>#DIV/0!</v>
      </c>
      <c r="AJ138" s="111" t="e">
        <f t="shared" si="26"/>
        <v>#DIV/0!</v>
      </c>
      <c r="AK138" s="111" t="e">
        <f t="shared" si="27"/>
        <v>#DIV/0!</v>
      </c>
      <c r="AL138" s="116" t="e">
        <f t="shared" si="10"/>
        <v>#N/A</v>
      </c>
      <c r="AM138" s="116" t="e">
        <f t="shared" si="32"/>
        <v>#N/A</v>
      </c>
      <c r="AN138" s="117" t="e">
        <f t="shared" si="33"/>
        <v>#N/A</v>
      </c>
      <c r="AO138" s="117" t="e">
        <f>(1-NORMDIST(AN138,$P$32,($P$32/4),TRUE))*(R138/($E$37+'2nd Innings'!$E$37))</f>
        <v>#N/A</v>
      </c>
      <c r="AP138" s="116" t="e">
        <f>(AO138/AO$143)*(200-(8*($H$37+'2nd Innings'!$H$37)))</f>
        <v>#N/A</v>
      </c>
      <c r="AQ138" s="111" t="e">
        <f t="shared" si="11"/>
        <v>#N/A</v>
      </c>
      <c r="AR138" s="110">
        <f>'2nd Innings'!$F$22</f>
        <v>0</v>
      </c>
      <c r="AS138" s="118">
        <f t="shared" si="52"/>
        <v>1</v>
      </c>
      <c r="AT138" s="166">
        <f t="shared" si="53"/>
        <v>0</v>
      </c>
      <c r="AU138" s="110">
        <f>COUNTIFS($C$8:$C$18,"caught WK",$D$8:$D$18,VLOOKUP(7,'2nd Innings'!$A$8:$B$18,2,FALSE))+N138</f>
        <v>0</v>
      </c>
      <c r="AV138" s="57"/>
      <c r="AW138" s="57"/>
      <c r="AX138" s="57"/>
      <c r="AY138" s="57"/>
      <c r="AZ138" s="57"/>
      <c r="BA138" s="57"/>
      <c r="BB138" s="57"/>
      <c r="BC138" s="57"/>
      <c r="BD138" s="57"/>
      <c r="BE138" s="57"/>
      <c r="BF138" s="57"/>
      <c r="BG138" s="57"/>
      <c r="BH138" s="57"/>
      <c r="BI138" s="57"/>
      <c r="BJ138" s="57"/>
      <c r="BK138" s="57"/>
      <c r="BL138" s="57"/>
      <c r="BM138" s="57"/>
      <c r="BN138" s="57"/>
      <c r="BO138" s="57"/>
      <c r="BP138" s="57"/>
      <c r="BQ138" s="57"/>
      <c r="BR138" s="57"/>
      <c r="BS138" s="57"/>
      <c r="BT138" s="57"/>
    </row>
    <row r="139" spans="1:72" x14ac:dyDescent="0.25">
      <c r="A139" s="140">
        <f>'2nd Innings'!B15</f>
        <v>0</v>
      </c>
      <c r="B139" s="116">
        <f>'2nd Innings'!A15</f>
        <v>8</v>
      </c>
      <c r="C139" s="116">
        <v>1</v>
      </c>
      <c r="D139" s="116">
        <f>1-COUNTBLANK('2nd Innings'!C15)</f>
        <v>0</v>
      </c>
      <c r="E139" s="116">
        <f>COUNTIF('2nd Innings'!C15,"not out")</f>
        <v>0</v>
      </c>
      <c r="F139" s="116">
        <f>'2nd Innings'!F15</f>
        <v>0</v>
      </c>
      <c r="G139" s="116">
        <f>'2nd Innings'!G15</f>
        <v>0</v>
      </c>
      <c r="H139" s="141">
        <f>'2nd Innings'!I15</f>
        <v>0</v>
      </c>
      <c r="I139" s="116">
        <f>'2nd Innings'!J15</f>
        <v>0</v>
      </c>
      <c r="J139" s="116">
        <f>'2nd Innings'!K15</f>
        <v>0</v>
      </c>
      <c r="K139" s="110">
        <f>SUMIF('2nd Innings'!O8:O18,VLOOKUP(8,'2nd Innings'!A$8:B$18,2,FALSE),'2nd Innings'!Q$8:Q$18)+SUMIF('2nd Innings'!P$8:P$18,VLOOKUP(8,'2nd Innings'!A$8:B$18,2,FALSE),'2nd Innings'!Q$8:Q$18)</f>
        <v>0</v>
      </c>
      <c r="L139" s="110">
        <f>COUNTIFS($C$8:$C$18,"caught",$D$8:$D$18,VLOOKUP(8,'2nd Innings'!$A$8:$B$18,2,FALSE))+COUNTIFS($C$8:$C$18,"caught WK",$D$8:$D$18,VLOOKUP(8,'2nd Innings'!$A$8:$B$18,2,FALSE))</f>
        <v>0</v>
      </c>
      <c r="M139" s="110">
        <f>COUNTIFS($C$8:$C$18,"Run Out",$D$8:$D$18,VLOOKUP(8,'2nd Innings'!$A$8:$B$18,2,FALSE))</f>
        <v>0</v>
      </c>
      <c r="N139" s="110">
        <f>COUNTIFS($C$8:$C$18,"Stumped",$D$8:$D$18,VLOOKUP(8,'2nd Innings'!$A$8:$B$18,2,FALSE))</f>
        <v>0</v>
      </c>
      <c r="O139" s="110">
        <f t="shared" si="18"/>
        <v>0</v>
      </c>
      <c r="P139" s="110">
        <f t="shared" si="5"/>
        <v>0</v>
      </c>
      <c r="Q139" s="110">
        <f t="shared" si="19"/>
        <v>0</v>
      </c>
      <c r="R139" s="110" t="e">
        <f>VLOOKUP(VLOOKUP(8,'2nd Innings'!$A$8:$B$18,2,FALSE),$D$26:$N$36,2,FALSE)</f>
        <v>#N/A</v>
      </c>
      <c r="S139" s="110" t="e">
        <f>VLOOKUP(VLOOKUP(8,'2nd Innings'!$A$8:$B$18,2,FALSE),$D$26:$N$36,3,FALSE)</f>
        <v>#N/A</v>
      </c>
      <c r="T139" s="110" t="e">
        <f>VLOOKUP(VLOOKUP(8,'2nd Innings'!$A$8:$B$18,2,FALSE),$D$26:$N$36,4,FALSE)</f>
        <v>#N/A</v>
      </c>
      <c r="U139" s="110" t="e">
        <f>VLOOKUP(VLOOKUP(8,'2nd Innings'!$A$8:$B$18,2,FALSE),$D$26:$N$36,5,FALSE)</f>
        <v>#N/A</v>
      </c>
      <c r="V139" s="110" t="e">
        <f>VLOOKUP(VLOOKUP(8,'2nd Innings'!$A$8:$B$18,2,FALSE),$D$26:$N$36,6,FALSE)</f>
        <v>#N/A</v>
      </c>
      <c r="W139" s="110" t="e">
        <f>VLOOKUP(VLOOKUP(8,'2nd Innings'!$A$8:$B$18,2,FALSE),$D$26:$N$36,7,FALSE)</f>
        <v>#N/A</v>
      </c>
      <c r="X139" s="110" t="e">
        <f>VLOOKUP(VLOOKUP(8,'2nd Innings'!$A$8:$B$18,2,FALSE),$D$26:$N$36,10,FALSE)</f>
        <v>#N/A</v>
      </c>
      <c r="Y139" s="110" t="e">
        <f>VLOOKUP(VLOOKUP(8,'2nd Innings'!$A$8:$B$18,2,FALSE),$D$26:$N$36,11,FALSE)</f>
        <v>#N/A</v>
      </c>
      <c r="Z139" s="110">
        <f t="shared" si="6"/>
        <v>0</v>
      </c>
      <c r="AA139" s="110">
        <f t="shared" si="20"/>
        <v>0</v>
      </c>
      <c r="AB139" s="110">
        <f t="shared" si="21"/>
        <v>0</v>
      </c>
      <c r="AC139" s="110">
        <f t="shared" si="22"/>
        <v>0</v>
      </c>
      <c r="AD139" s="111" t="e">
        <f t="shared" si="7"/>
        <v>#DIV/0!</v>
      </c>
      <c r="AE139" s="111" t="e">
        <f t="shared" si="23"/>
        <v>#DIV/0!</v>
      </c>
      <c r="AF139" s="112" t="e">
        <f t="shared" si="24"/>
        <v>#DIV/0!</v>
      </c>
      <c r="AG139" s="113" t="e">
        <f t="shared" si="8"/>
        <v>#N/A</v>
      </c>
      <c r="AH139" s="114">
        <f t="shared" si="9"/>
        <v>0</v>
      </c>
      <c r="AI139" s="115" t="e">
        <f t="shared" si="25"/>
        <v>#DIV/0!</v>
      </c>
      <c r="AJ139" s="111" t="e">
        <f t="shared" si="26"/>
        <v>#DIV/0!</v>
      </c>
      <c r="AK139" s="111" t="e">
        <f t="shared" si="27"/>
        <v>#DIV/0!</v>
      </c>
      <c r="AL139" s="116" t="e">
        <f t="shared" si="10"/>
        <v>#N/A</v>
      </c>
      <c r="AM139" s="116" t="e">
        <f t="shared" si="32"/>
        <v>#N/A</v>
      </c>
      <c r="AN139" s="117" t="e">
        <f t="shared" si="33"/>
        <v>#N/A</v>
      </c>
      <c r="AO139" s="117" t="e">
        <f>(1-NORMDIST(AN139,$P$32,($P$32/4),TRUE))*(R139/($E$37+'2nd Innings'!$E$37))</f>
        <v>#N/A</v>
      </c>
      <c r="AP139" s="116" t="e">
        <f>(AO139/AO$143)*(200-(8*($H$37+'2nd Innings'!$H$37)))</f>
        <v>#N/A</v>
      </c>
      <c r="AQ139" s="111" t="e">
        <f t="shared" si="11"/>
        <v>#N/A</v>
      </c>
      <c r="AR139" s="110">
        <f>'2nd Innings'!$F$22</f>
        <v>0</v>
      </c>
      <c r="AS139" s="118">
        <f t="shared" si="52"/>
        <v>1</v>
      </c>
      <c r="AT139" s="166">
        <f t="shared" si="53"/>
        <v>0</v>
      </c>
      <c r="AU139" s="110">
        <f>COUNTIFS($C$8:$C$18,"caught WK",$D$8:$D$18,VLOOKUP(8,'2nd Innings'!$A$8:$B$18,2,FALSE))+N139</f>
        <v>0</v>
      </c>
      <c r="AV139" s="57"/>
      <c r="AW139" s="57"/>
      <c r="AX139" s="57"/>
      <c r="AY139" s="57"/>
      <c r="AZ139" s="57"/>
      <c r="BA139" s="57"/>
      <c r="BB139" s="57"/>
      <c r="BC139" s="57"/>
      <c r="BD139" s="57"/>
      <c r="BE139" s="57"/>
      <c r="BF139" s="57"/>
      <c r="BG139" s="57"/>
      <c r="BH139" s="57"/>
      <c r="BI139" s="57"/>
      <c r="BJ139" s="57"/>
      <c r="BK139" s="57"/>
      <c r="BL139" s="57"/>
      <c r="BM139" s="57"/>
      <c r="BN139" s="57"/>
      <c r="BO139" s="57"/>
      <c r="BP139" s="57"/>
      <c r="BQ139" s="57"/>
      <c r="BR139" s="57"/>
      <c r="BS139" s="57"/>
      <c r="BT139" s="57"/>
    </row>
    <row r="140" spans="1:72" x14ac:dyDescent="0.25">
      <c r="A140" s="140">
        <f>'2nd Innings'!B16</f>
        <v>0</v>
      </c>
      <c r="B140" s="116">
        <f>'2nd Innings'!A16</f>
        <v>9</v>
      </c>
      <c r="C140" s="116">
        <v>1</v>
      </c>
      <c r="D140" s="116">
        <f>1-COUNTBLANK('2nd Innings'!C16)</f>
        <v>0</v>
      </c>
      <c r="E140" s="116">
        <f>COUNTIF('2nd Innings'!C16,"not out")</f>
        <v>0</v>
      </c>
      <c r="F140" s="116">
        <f>'2nd Innings'!F16</f>
        <v>0</v>
      </c>
      <c r="G140" s="116">
        <f>'2nd Innings'!G16</f>
        <v>0</v>
      </c>
      <c r="H140" s="141">
        <f>'2nd Innings'!I16</f>
        <v>0</v>
      </c>
      <c r="I140" s="116">
        <f>'2nd Innings'!J16</f>
        <v>0</v>
      </c>
      <c r="J140" s="116">
        <f>'2nd Innings'!K16</f>
        <v>0</v>
      </c>
      <c r="K140" s="110">
        <f>SUMIF('2nd Innings'!O8:O18,VLOOKUP(9,'2nd Innings'!A$8:B$18,2,FALSE),'2nd Innings'!Q$8:Q$18)+SUMIF('2nd Innings'!P$8:P$18,VLOOKUP(9,'2nd Innings'!A$8:B$18,2,FALSE),'2nd Innings'!Q$8:Q$18)</f>
        <v>0</v>
      </c>
      <c r="L140" s="110">
        <f>COUNTIFS($C$8:$C$18,"caught",$D$8:$D$18,VLOOKUP(9,'2nd Innings'!$A$8:$B$18,2,FALSE))+COUNTIFS($C$8:$C$18,"caught WK",$D$8:$D$18,VLOOKUP(9,'2nd Innings'!$A$8:$B$18,2,FALSE))</f>
        <v>0</v>
      </c>
      <c r="M140" s="110">
        <f>COUNTIFS($C$8:$C$18,"Run Out",$D$8:$D$18,VLOOKUP(9,'2nd Innings'!$A$8:$B$18,2,FALSE))</f>
        <v>0</v>
      </c>
      <c r="N140" s="110">
        <f>COUNTIFS($C$8:$C$18,"Stumped",$D$8:$D$18,VLOOKUP(9,'2nd Innings'!$A$8:$B$18,2,FALSE))</f>
        <v>0</v>
      </c>
      <c r="O140" s="110">
        <f t="shared" si="18"/>
        <v>0</v>
      </c>
      <c r="P140" s="110">
        <f t="shared" si="5"/>
        <v>0</v>
      </c>
      <c r="Q140" s="110">
        <f t="shared" si="19"/>
        <v>0</v>
      </c>
      <c r="R140" s="110" t="e">
        <f>VLOOKUP(VLOOKUP(9,'2nd Innings'!$A$8:$B$18,2,FALSE),$D$26:$N$36,2,FALSE)</f>
        <v>#N/A</v>
      </c>
      <c r="S140" s="110" t="e">
        <f>VLOOKUP(VLOOKUP(9,'2nd Innings'!$A$8:$B$18,2,FALSE),$D$26:$N$36,3,FALSE)</f>
        <v>#N/A</v>
      </c>
      <c r="T140" s="110" t="e">
        <f>VLOOKUP(VLOOKUP(9,'2nd Innings'!$A$8:$B$18,2,FALSE),$D$26:$N$36,4,FALSE)</f>
        <v>#N/A</v>
      </c>
      <c r="U140" s="110" t="e">
        <f>VLOOKUP(VLOOKUP(9,'2nd Innings'!$A$8:$B$18,2,FALSE),$D$26:$N$36,5,FALSE)</f>
        <v>#N/A</v>
      </c>
      <c r="V140" s="110" t="e">
        <f>VLOOKUP(VLOOKUP(9,'2nd Innings'!$A$8:$B$18,2,FALSE),$D$26:$N$36,6,FALSE)</f>
        <v>#N/A</v>
      </c>
      <c r="W140" s="110" t="e">
        <f>VLOOKUP(VLOOKUP(9,'2nd Innings'!$A$8:$B$18,2,FALSE),$D$26:$N$36,7,FALSE)</f>
        <v>#N/A</v>
      </c>
      <c r="X140" s="110" t="e">
        <f>VLOOKUP(VLOOKUP(9,'2nd Innings'!$A$8:$B$18,2,FALSE),$D$26:$N$36,10,FALSE)</f>
        <v>#N/A</v>
      </c>
      <c r="Y140" s="110" t="e">
        <f>VLOOKUP(VLOOKUP(9,'2nd Innings'!$A$8:$B$18,2,FALSE),$D$26:$N$36,11,FALSE)</f>
        <v>#N/A</v>
      </c>
      <c r="Z140" s="110">
        <f t="shared" si="6"/>
        <v>0</v>
      </c>
      <c r="AA140" s="110">
        <f t="shared" si="20"/>
        <v>0</v>
      </c>
      <c r="AB140" s="110">
        <f t="shared" si="21"/>
        <v>0</v>
      </c>
      <c r="AC140" s="110">
        <f t="shared" si="22"/>
        <v>0</v>
      </c>
      <c r="AD140" s="111" t="e">
        <f t="shared" si="7"/>
        <v>#DIV/0!</v>
      </c>
      <c r="AE140" s="111" t="e">
        <f t="shared" si="23"/>
        <v>#DIV/0!</v>
      </c>
      <c r="AF140" s="112" t="e">
        <f t="shared" si="24"/>
        <v>#DIV/0!</v>
      </c>
      <c r="AG140" s="113" t="e">
        <f t="shared" si="8"/>
        <v>#N/A</v>
      </c>
      <c r="AH140" s="114">
        <f t="shared" si="9"/>
        <v>0</v>
      </c>
      <c r="AI140" s="115" t="e">
        <f t="shared" si="25"/>
        <v>#DIV/0!</v>
      </c>
      <c r="AJ140" s="111" t="e">
        <f t="shared" si="26"/>
        <v>#DIV/0!</v>
      </c>
      <c r="AK140" s="111" t="e">
        <f t="shared" si="27"/>
        <v>#DIV/0!</v>
      </c>
      <c r="AL140" s="116" t="e">
        <f t="shared" si="10"/>
        <v>#N/A</v>
      </c>
      <c r="AM140" s="116" t="e">
        <f t="shared" si="32"/>
        <v>#N/A</v>
      </c>
      <c r="AN140" s="117" t="e">
        <f t="shared" si="33"/>
        <v>#N/A</v>
      </c>
      <c r="AO140" s="117" t="e">
        <f>(1-NORMDIST(AN140,$P$32,($P$32/4),TRUE))*(R140/($E$37+'2nd Innings'!$E$37))</f>
        <v>#N/A</v>
      </c>
      <c r="AP140" s="116" t="e">
        <f>(AO140/AO$143)*(200-(8*($H$37+'2nd Innings'!$H$37)))</f>
        <v>#N/A</v>
      </c>
      <c r="AQ140" s="111" t="e">
        <f t="shared" si="11"/>
        <v>#N/A</v>
      </c>
      <c r="AR140" s="110">
        <f>'2nd Innings'!$F$22</f>
        <v>0</v>
      </c>
      <c r="AS140" s="118">
        <f t="shared" si="52"/>
        <v>1</v>
      </c>
      <c r="AT140" s="166">
        <f t="shared" si="53"/>
        <v>0</v>
      </c>
      <c r="AU140" s="110">
        <f>COUNTIFS($C$8:$C$18,"caught WK",$D$8:$D$18,VLOOKUP(9,'2nd Innings'!$A$8:$B$18,2,FALSE))+N140</f>
        <v>0</v>
      </c>
      <c r="AV140" s="57"/>
      <c r="AW140" s="57"/>
      <c r="AX140" s="57"/>
      <c r="AY140" s="57"/>
      <c r="AZ140" s="57"/>
      <c r="BA140" s="57"/>
      <c r="BB140" s="57"/>
      <c r="BC140" s="57"/>
      <c r="BD140" s="57"/>
      <c r="BE140" s="57"/>
      <c r="BF140" s="57"/>
      <c r="BG140" s="57"/>
      <c r="BH140" s="57"/>
      <c r="BI140" s="57"/>
      <c r="BJ140" s="57"/>
      <c r="BK140" s="57"/>
      <c r="BL140" s="57"/>
      <c r="BM140" s="57"/>
      <c r="BN140" s="57"/>
      <c r="BO140" s="57"/>
      <c r="BP140" s="57"/>
      <c r="BQ140" s="57"/>
      <c r="BR140" s="57"/>
      <c r="BS140" s="57"/>
      <c r="BT140" s="57"/>
    </row>
    <row r="141" spans="1:72" x14ac:dyDescent="0.25">
      <c r="A141" s="140">
        <f>'2nd Innings'!B17</f>
        <v>0</v>
      </c>
      <c r="B141" s="116">
        <f>'2nd Innings'!A17</f>
        <v>10</v>
      </c>
      <c r="C141" s="116">
        <v>1</v>
      </c>
      <c r="D141" s="116">
        <f>1-COUNTBLANK('2nd Innings'!C17)</f>
        <v>0</v>
      </c>
      <c r="E141" s="116">
        <f>COUNTIF('2nd Innings'!C17,"not out")</f>
        <v>0</v>
      </c>
      <c r="F141" s="116">
        <f>'2nd Innings'!F17</f>
        <v>0</v>
      </c>
      <c r="G141" s="116">
        <f>'2nd Innings'!G17</f>
        <v>0</v>
      </c>
      <c r="H141" s="141">
        <f>'2nd Innings'!I17</f>
        <v>0</v>
      </c>
      <c r="I141" s="116">
        <f>'2nd Innings'!J17</f>
        <v>0</v>
      </c>
      <c r="J141" s="116">
        <f>'2nd Innings'!K17</f>
        <v>0</v>
      </c>
      <c r="K141" s="110">
        <f>SUMIF('2nd Innings'!O8:O18,VLOOKUP(10,'2nd Innings'!A$8:B$18,2,FALSE),'2nd Innings'!Q$8:Q$18)+SUMIF('2nd Innings'!P$8:P$18,VLOOKUP(10,'2nd Innings'!A$8:B$18,2,FALSE),'2nd Innings'!Q$8:Q$18)</f>
        <v>0</v>
      </c>
      <c r="L141" s="110">
        <f>COUNTIFS($C$8:$C$18,"caught",$D$8:$D$18,VLOOKUP(10,'2nd Innings'!$A$8:$B$18,2,FALSE))+COUNTIFS($C$8:$C$18,"caught WK",$D$8:$D$18,VLOOKUP(10,'2nd Innings'!$A$8:$B$18,2,FALSE))</f>
        <v>0</v>
      </c>
      <c r="M141" s="110">
        <f>COUNTIFS($C$8:$C$18,"Run Out",$D$8:$D$18,VLOOKUP(10,'2nd Innings'!$A$8:$B$18,2,FALSE))</f>
        <v>0</v>
      </c>
      <c r="N141" s="110">
        <f>COUNTIFS($C$8:$C$18,"Stumped",$D$8:$D$18,VLOOKUP(10,'2nd Innings'!$A$8:$B$18,2,FALSE))</f>
        <v>0</v>
      </c>
      <c r="O141" s="110">
        <f t="shared" si="18"/>
        <v>0</v>
      </c>
      <c r="P141" s="110">
        <f t="shared" si="5"/>
        <v>0</v>
      </c>
      <c r="Q141" s="110">
        <f t="shared" si="19"/>
        <v>0</v>
      </c>
      <c r="R141" s="110" t="e">
        <f>VLOOKUP(VLOOKUP(10,'2nd Innings'!$A$8:$B$18,2,FALSE),$D$26:$N$36,2,FALSE)</f>
        <v>#N/A</v>
      </c>
      <c r="S141" s="110" t="e">
        <f>VLOOKUP(VLOOKUP(10,'2nd Innings'!$A$8:$B$18,2,FALSE),$D$26:$N$36,3,FALSE)</f>
        <v>#N/A</v>
      </c>
      <c r="T141" s="110" t="e">
        <f>VLOOKUP(VLOOKUP(10,'2nd Innings'!$A$8:$B$18,2,FALSE),$D$26:$N$36,4,FALSE)</f>
        <v>#N/A</v>
      </c>
      <c r="U141" s="110" t="e">
        <f>VLOOKUP(VLOOKUP(10,'2nd Innings'!$A$8:$B$18,2,FALSE),$D$26:$N$36,5,FALSE)</f>
        <v>#N/A</v>
      </c>
      <c r="V141" s="110" t="e">
        <f>VLOOKUP(VLOOKUP(10,'2nd Innings'!$A$8:$B$18,2,FALSE),$D$26:$N$36,6,FALSE)</f>
        <v>#N/A</v>
      </c>
      <c r="W141" s="110" t="e">
        <f>VLOOKUP(VLOOKUP(10,'2nd Innings'!$A$8:$B$18,2,FALSE),$D$26:$N$36,7,FALSE)</f>
        <v>#N/A</v>
      </c>
      <c r="X141" s="110" t="e">
        <f>VLOOKUP(VLOOKUP(10,'2nd Innings'!$A$8:$B$18,2,FALSE),$D$26:$N$36,10,FALSE)</f>
        <v>#N/A</v>
      </c>
      <c r="Y141" s="110" t="e">
        <f>VLOOKUP(VLOOKUP(10,'2nd Innings'!$A$8:$B$18,2,FALSE),$D$26:$N$36,11,FALSE)</f>
        <v>#N/A</v>
      </c>
      <c r="Z141" s="110">
        <f t="shared" si="6"/>
        <v>0</v>
      </c>
      <c r="AA141" s="110">
        <f t="shared" si="20"/>
        <v>0</v>
      </c>
      <c r="AB141" s="110">
        <f t="shared" si="21"/>
        <v>0</v>
      </c>
      <c r="AC141" s="110">
        <f t="shared" si="22"/>
        <v>0</v>
      </c>
      <c r="AD141" s="111" t="e">
        <f t="shared" si="7"/>
        <v>#DIV/0!</v>
      </c>
      <c r="AE141" s="111" t="e">
        <f t="shared" si="23"/>
        <v>#DIV/0!</v>
      </c>
      <c r="AF141" s="112" t="e">
        <f t="shared" si="24"/>
        <v>#DIV/0!</v>
      </c>
      <c r="AG141" s="113" t="e">
        <f t="shared" si="8"/>
        <v>#N/A</v>
      </c>
      <c r="AH141" s="114">
        <f t="shared" si="9"/>
        <v>0</v>
      </c>
      <c r="AI141" s="115" t="e">
        <f t="shared" si="25"/>
        <v>#DIV/0!</v>
      </c>
      <c r="AJ141" s="111" t="e">
        <f t="shared" si="26"/>
        <v>#DIV/0!</v>
      </c>
      <c r="AK141" s="111" t="e">
        <f t="shared" si="27"/>
        <v>#DIV/0!</v>
      </c>
      <c r="AL141" s="116" t="e">
        <f t="shared" si="10"/>
        <v>#N/A</v>
      </c>
      <c r="AM141" s="116" t="e">
        <f t="shared" si="32"/>
        <v>#N/A</v>
      </c>
      <c r="AN141" s="117" t="e">
        <f t="shared" si="33"/>
        <v>#N/A</v>
      </c>
      <c r="AO141" s="117" t="e">
        <f>(1-NORMDIST(AN141,$P$32,($P$32/4),TRUE))*(R141/($E$37+'2nd Innings'!$E$37))</f>
        <v>#N/A</v>
      </c>
      <c r="AP141" s="116" t="e">
        <f>(AO141/AO$143)*(200-(8*($H$37+'2nd Innings'!$H$37)))</f>
        <v>#N/A</v>
      </c>
      <c r="AQ141" s="111" t="e">
        <f t="shared" si="11"/>
        <v>#N/A</v>
      </c>
      <c r="AR141" s="110">
        <f>'2nd Innings'!$F$22</f>
        <v>0</v>
      </c>
      <c r="AS141" s="118">
        <f>IF(A141=$C$34,1,0)</f>
        <v>1</v>
      </c>
      <c r="AT141" s="166">
        <f t="shared" si="53"/>
        <v>0</v>
      </c>
      <c r="AU141" s="110">
        <f>COUNTIFS($C$8:$C$18,"caught WK",$D$8:$D$18,VLOOKUP(10,'2nd Innings'!$A$8:$B$18,2,FALSE))+N141</f>
        <v>0</v>
      </c>
      <c r="AV141" s="57"/>
      <c r="AW141" s="57"/>
      <c r="AX141" s="57"/>
      <c r="AY141" s="57"/>
      <c r="AZ141" s="57"/>
      <c r="BA141" s="57"/>
      <c r="BB141" s="57"/>
      <c r="BC141" s="57"/>
      <c r="BD141" s="57"/>
      <c r="BE141" s="57"/>
      <c r="BF141" s="57"/>
      <c r="BG141" s="57"/>
      <c r="BH141" s="57"/>
      <c r="BI141" s="57"/>
      <c r="BJ141" s="57"/>
      <c r="BK141" s="57"/>
      <c r="BL141" s="57"/>
      <c r="BM141" s="57"/>
      <c r="BN141" s="57"/>
      <c r="BO141" s="57"/>
      <c r="BP141" s="57"/>
      <c r="BQ141" s="57"/>
      <c r="BR141" s="57"/>
      <c r="BS141" s="57"/>
      <c r="BT141" s="57"/>
    </row>
    <row r="142" spans="1:72" ht="15.75" thickBot="1" x14ac:dyDescent="0.3">
      <c r="A142" s="142">
        <f>'2nd Innings'!B18</f>
        <v>0</v>
      </c>
      <c r="B142" s="125">
        <f>'2nd Innings'!A18</f>
        <v>11</v>
      </c>
      <c r="C142" s="125">
        <v>1</v>
      </c>
      <c r="D142" s="125">
        <f>1-COUNTBLANK('2nd Innings'!C18)</f>
        <v>0</v>
      </c>
      <c r="E142" s="125">
        <f>COUNTIF('2nd Innings'!C18,"not out")</f>
        <v>0</v>
      </c>
      <c r="F142" s="125">
        <f>'2nd Innings'!F18</f>
        <v>0</v>
      </c>
      <c r="G142" s="125">
        <f>'2nd Innings'!G18</f>
        <v>0</v>
      </c>
      <c r="H142" s="143">
        <f>'2nd Innings'!I18</f>
        <v>0</v>
      </c>
      <c r="I142" s="125">
        <f>'2nd Innings'!J18</f>
        <v>0</v>
      </c>
      <c r="J142" s="125">
        <f>'2nd Innings'!K18</f>
        <v>0</v>
      </c>
      <c r="K142" s="119">
        <f>SUMIF('2nd Innings'!O8:O18,VLOOKUP(11,'2nd Innings'!A$8:B$18,2,FALSE),'2nd Innings'!Q$8:Q$18)+SUMIF('2nd Innings'!P$8:P$18,VLOOKUP(11,'2nd Innings'!A$8:B$18,2,FALSE),'2nd Innings'!Q$8:Q$18)</f>
        <v>0</v>
      </c>
      <c r="L142" s="110">
        <f>COUNTIFS($C$8:$C$18,"caught",$D$8:$D$18,VLOOKUP(11,'2nd Innings'!$A$8:$B$18,2,FALSE))+COUNTIFS($C$8:$C$18,"caught WK",$D$8:$D$18,VLOOKUP(11,'2nd Innings'!$A$8:$B$18,2,FALSE))</f>
        <v>0</v>
      </c>
      <c r="M142" s="119">
        <f>COUNTIFS($C$8:$C$18,"Run Out",$D$8:$D$18,VLOOKUP(11,'2nd Innings'!$A$8:$B$18,2,FALSE))</f>
        <v>0</v>
      </c>
      <c r="N142" s="119">
        <f>COUNTIFS($C$8:$C$18,"Stumped",$D$8:$D$18,VLOOKUP(11,'2nd Innings'!$A$8:$B$18,2,FALSE))</f>
        <v>0</v>
      </c>
      <c r="O142" s="119">
        <f t="shared" si="18"/>
        <v>0</v>
      </c>
      <c r="P142" s="110">
        <f t="shared" si="5"/>
        <v>0</v>
      </c>
      <c r="Q142" s="119">
        <f t="shared" si="19"/>
        <v>0</v>
      </c>
      <c r="R142" s="119" t="e">
        <f>VLOOKUP(VLOOKUP(11,'2nd Innings'!$A$8:$B$18,2,FALSE),$D$26:$N$36,2,FALSE)</f>
        <v>#N/A</v>
      </c>
      <c r="S142" s="119" t="e">
        <f>VLOOKUP(VLOOKUP(11,'2nd Innings'!$A$8:$B$18,2,FALSE),$D$26:$N$36,3,FALSE)</f>
        <v>#N/A</v>
      </c>
      <c r="T142" s="119" t="e">
        <f>VLOOKUP(VLOOKUP(11,'2nd Innings'!$A$8:$B$18,2,FALSE),$D$26:$N$36,4,FALSE)</f>
        <v>#N/A</v>
      </c>
      <c r="U142" s="119" t="e">
        <f>VLOOKUP(VLOOKUP(11,'2nd Innings'!$A$8:$B$18,2,FALSE),$D$26:$N$36,5,FALSE)</f>
        <v>#N/A</v>
      </c>
      <c r="V142" s="119" t="e">
        <f>VLOOKUP(VLOOKUP(11,'2nd Innings'!$A$8:$B$18,2,FALSE),$D$26:$N$36,6,FALSE)</f>
        <v>#N/A</v>
      </c>
      <c r="W142" s="119" t="e">
        <f>VLOOKUP(VLOOKUP(11,'2nd Innings'!$A$8:$B$18,2,FALSE),$D$26:$N$36,7,FALSE)</f>
        <v>#N/A</v>
      </c>
      <c r="X142" s="119" t="e">
        <f>VLOOKUP(VLOOKUP(11,'2nd Innings'!$A$8:$B$18,2,FALSE),$D$26:$N$36,10,FALSE)</f>
        <v>#N/A</v>
      </c>
      <c r="Y142" s="119" t="e">
        <f>VLOOKUP(VLOOKUP(11,'2nd Innings'!$A$8:$B$18,2,FALSE),$D$26:$N$36,11,FALSE)</f>
        <v>#N/A</v>
      </c>
      <c r="Z142" s="119">
        <f t="shared" si="6"/>
        <v>0</v>
      </c>
      <c r="AA142" s="119">
        <f t="shared" si="20"/>
        <v>0</v>
      </c>
      <c r="AB142" s="119">
        <f t="shared" si="21"/>
        <v>0</v>
      </c>
      <c r="AC142" s="119">
        <f t="shared" si="22"/>
        <v>0</v>
      </c>
      <c r="AD142" s="111" t="e">
        <f t="shared" si="7"/>
        <v>#DIV/0!</v>
      </c>
      <c r="AE142" s="120" t="e">
        <f t="shared" si="23"/>
        <v>#DIV/0!</v>
      </c>
      <c r="AF142" s="121" t="e">
        <f t="shared" si="24"/>
        <v>#DIV/0!</v>
      </c>
      <c r="AG142" s="122" t="e">
        <f t="shared" si="8"/>
        <v>#N/A</v>
      </c>
      <c r="AH142" s="123">
        <f t="shared" si="9"/>
        <v>0</v>
      </c>
      <c r="AI142" s="124" t="e">
        <f t="shared" si="25"/>
        <v>#DIV/0!</v>
      </c>
      <c r="AJ142" s="120" t="e">
        <f t="shared" si="26"/>
        <v>#DIV/0!</v>
      </c>
      <c r="AK142" s="120" t="e">
        <f t="shared" si="27"/>
        <v>#DIV/0!</v>
      </c>
      <c r="AL142" s="125" t="e">
        <f t="shared" si="10"/>
        <v>#N/A</v>
      </c>
      <c r="AM142" s="125" t="e">
        <f t="shared" si="32"/>
        <v>#N/A</v>
      </c>
      <c r="AN142" s="126" t="e">
        <f t="shared" si="33"/>
        <v>#N/A</v>
      </c>
      <c r="AO142" s="126" t="e">
        <f>(1-NORMDIST(AN142,$P$32,($P$32/4),TRUE))*(R142/($E$37+'2nd Innings'!$E$37))</f>
        <v>#N/A</v>
      </c>
      <c r="AP142" s="125" t="e">
        <f>(AO142/AO$143)*(200-(8*($H$37+'2nd Innings'!$H$37)))</f>
        <v>#N/A</v>
      </c>
      <c r="AQ142" s="120" t="e">
        <f t="shared" si="11"/>
        <v>#N/A</v>
      </c>
      <c r="AR142" s="119">
        <f>'2nd Innings'!$F$22</f>
        <v>0</v>
      </c>
      <c r="AS142" s="127">
        <f>IF(A142=$C$34,1,0)</f>
        <v>1</v>
      </c>
      <c r="AT142" s="166">
        <f t="shared" si="53"/>
        <v>0</v>
      </c>
      <c r="AU142" s="110">
        <f>COUNTIFS($C$8:$C$18,"caught WK",$D$8:$D$18,VLOOKUP(11,'2nd Innings'!$A$8:$B$18,2,FALSE))+N142</f>
        <v>0</v>
      </c>
      <c r="AV142" s="57"/>
      <c r="AW142" s="57"/>
      <c r="AX142" s="57"/>
      <c r="AY142" s="57"/>
      <c r="AZ142" s="57"/>
      <c r="BA142" s="57"/>
      <c r="BB142" s="57"/>
      <c r="BC142" s="57"/>
      <c r="BD142" s="57"/>
      <c r="BE142" s="57"/>
      <c r="BF142" s="57"/>
      <c r="BG142" s="57"/>
      <c r="BH142" s="57"/>
      <c r="BI142" s="57"/>
      <c r="BJ142" s="57"/>
      <c r="BK142" s="57"/>
      <c r="BL142" s="57"/>
      <c r="BM142" s="57"/>
      <c r="BN142" s="57"/>
      <c r="BO142" s="57"/>
      <c r="BP142" s="57"/>
      <c r="BQ142" s="57"/>
      <c r="BR142" s="57"/>
      <c r="BS142" s="57"/>
      <c r="BT142" s="57"/>
    </row>
    <row r="143" spans="1:72" x14ac:dyDescent="0.25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85" t="e">
        <f t="shared" ref="AD143:AI143" si="54">SUM(AD121:AD142)</f>
        <v>#DIV/0!</v>
      </c>
      <c r="AE143" s="85" t="e">
        <f t="shared" si="54"/>
        <v>#DIV/0!</v>
      </c>
      <c r="AF143" s="85" t="e">
        <f t="shared" si="54"/>
        <v>#DIV/0!</v>
      </c>
      <c r="AG143" s="85" t="e">
        <f t="shared" si="54"/>
        <v>#N/A</v>
      </c>
      <c r="AH143" s="85">
        <f t="shared" si="54"/>
        <v>0</v>
      </c>
      <c r="AI143" s="85" t="e">
        <f t="shared" si="54"/>
        <v>#DIV/0!</v>
      </c>
      <c r="AJ143" s="57"/>
      <c r="AK143" s="57"/>
      <c r="AL143" s="57"/>
      <c r="AM143" s="57"/>
      <c r="AN143" s="57" t="e">
        <f>SUM(AM121:AM142)</f>
        <v>#N/A</v>
      </c>
      <c r="AO143" s="57" t="e">
        <f>SUM(AO121:AO142)</f>
        <v>#N/A</v>
      </c>
      <c r="AP143" s="57" t="e">
        <f>SUM(AP121:AP142)</f>
        <v>#N/A</v>
      </c>
      <c r="AQ143" s="57" t="e">
        <f>SUM(AQ121:AQ142)</f>
        <v>#N/A</v>
      </c>
      <c r="AT143" s="57"/>
      <c r="AU143" s="57"/>
      <c r="AV143" s="57"/>
      <c r="AW143" s="57"/>
      <c r="AX143" s="57"/>
      <c r="AY143" s="57"/>
      <c r="AZ143" s="57"/>
      <c r="BA143" s="57"/>
      <c r="BB143" s="57"/>
      <c r="BC143" s="57"/>
      <c r="BD143" s="57"/>
      <c r="BE143" s="57"/>
      <c r="BF143" s="57"/>
      <c r="BG143" s="57"/>
      <c r="BH143" s="57"/>
      <c r="BI143" s="57"/>
      <c r="BJ143" s="57"/>
      <c r="BK143" s="57"/>
      <c r="BL143" s="57"/>
      <c r="BM143" s="57"/>
      <c r="BN143" s="57"/>
      <c r="BO143" s="57"/>
      <c r="BP143" s="57"/>
      <c r="BQ143" s="57"/>
      <c r="BR143" s="57"/>
      <c r="BS143" s="57"/>
    </row>
    <row r="144" spans="1:72" x14ac:dyDescent="0.25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  <c r="AT144" s="57"/>
      <c r="AU144" s="57"/>
      <c r="AV144" s="57"/>
      <c r="AW144" s="57"/>
      <c r="AX144" s="57"/>
      <c r="AY144" s="57"/>
      <c r="AZ144" s="57"/>
      <c r="BA144" s="57"/>
      <c r="BB144" s="57"/>
      <c r="BC144" s="57"/>
      <c r="BD144" s="57"/>
      <c r="BE144" s="57"/>
      <c r="BF144" s="57"/>
      <c r="BG144" s="57"/>
      <c r="BH144" s="57"/>
      <c r="BI144" s="57"/>
      <c r="BJ144" s="57"/>
      <c r="BK144" s="57"/>
      <c r="BL144" s="57"/>
      <c r="BM144" s="57"/>
      <c r="BN144" s="57"/>
      <c r="BO144" s="57"/>
      <c r="BP144" s="57"/>
      <c r="BQ144" s="57"/>
      <c r="BR144" s="57"/>
    </row>
    <row r="145" spans="1:70" x14ac:dyDescent="0.25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  <c r="AT145" s="57"/>
      <c r="AU145" s="57"/>
      <c r="AV145" s="57"/>
      <c r="AW145" s="57"/>
      <c r="AX145" s="57"/>
      <c r="AY145" s="57"/>
      <c r="AZ145" s="57"/>
      <c r="BA145" s="57"/>
      <c r="BB145" s="57"/>
      <c r="BC145" s="57"/>
      <c r="BD145" s="57"/>
      <c r="BE145" s="57"/>
      <c r="BF145" s="57"/>
      <c r="BG145" s="57"/>
      <c r="BH145" s="57"/>
      <c r="BI145" s="57"/>
      <c r="BJ145" s="57"/>
      <c r="BK145" s="57"/>
      <c r="BL145" s="57"/>
      <c r="BM145" s="57"/>
      <c r="BN145" s="57"/>
      <c r="BO145" s="57"/>
      <c r="BP145" s="57"/>
      <c r="BQ145" s="57"/>
      <c r="BR145" s="57"/>
    </row>
    <row r="146" spans="1:70" x14ac:dyDescent="0.25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  <c r="AT146" s="57"/>
      <c r="AU146" s="57"/>
      <c r="AV146" s="57"/>
      <c r="AW146" s="57"/>
      <c r="AX146" s="57"/>
      <c r="AY146" s="57"/>
      <c r="AZ146" s="57"/>
      <c r="BA146" s="57"/>
      <c r="BB146" s="57"/>
      <c r="BC146" s="57"/>
      <c r="BD146" s="57"/>
      <c r="BE146" s="57"/>
      <c r="BF146" s="57"/>
      <c r="BG146" s="57"/>
      <c r="BH146" s="57"/>
      <c r="BI146" s="57"/>
      <c r="BJ146" s="57"/>
      <c r="BK146" s="57"/>
      <c r="BL146" s="57"/>
      <c r="BM146" s="57"/>
      <c r="BN146" s="57"/>
      <c r="BO146" s="57"/>
      <c r="BP146" s="57"/>
      <c r="BQ146" s="57"/>
      <c r="BR146" s="57"/>
    </row>
    <row r="147" spans="1:70" x14ac:dyDescent="0.25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  <c r="AT147" s="57"/>
      <c r="AU147" s="57"/>
      <c r="AV147" s="57"/>
      <c r="AW147" s="57"/>
      <c r="AX147" s="57"/>
      <c r="AY147" s="57"/>
      <c r="AZ147" s="57"/>
      <c r="BA147" s="57"/>
      <c r="BB147" s="57"/>
      <c r="BC147" s="57"/>
      <c r="BD147" s="57"/>
      <c r="BE147" s="57"/>
      <c r="BF147" s="57"/>
      <c r="BG147" s="57"/>
      <c r="BH147" s="57"/>
      <c r="BI147" s="57"/>
      <c r="BJ147" s="57"/>
      <c r="BK147" s="57"/>
      <c r="BL147" s="57"/>
      <c r="BM147" s="57"/>
      <c r="BN147" s="57"/>
      <c r="BO147" s="57"/>
      <c r="BP147" s="57"/>
      <c r="BQ147" s="57"/>
      <c r="BR147" s="57"/>
    </row>
    <row r="148" spans="1:70" x14ac:dyDescent="0.25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  <c r="AT148" s="57"/>
      <c r="AU148" s="57"/>
      <c r="AV148" s="57"/>
      <c r="AW148" s="57"/>
      <c r="AX148" s="57"/>
      <c r="AY148" s="57"/>
      <c r="AZ148" s="57"/>
      <c r="BA148" s="57"/>
      <c r="BB148" s="57"/>
      <c r="BC148" s="57"/>
      <c r="BD148" s="57"/>
      <c r="BE148" s="57"/>
      <c r="BF148" s="57"/>
      <c r="BG148" s="57"/>
      <c r="BH148" s="57"/>
      <c r="BI148" s="57"/>
      <c r="BJ148" s="57"/>
      <c r="BK148" s="57"/>
      <c r="BL148" s="57"/>
      <c r="BM148" s="57"/>
      <c r="BN148" s="57"/>
      <c r="BO148" s="57"/>
      <c r="BP148" s="57"/>
      <c r="BQ148" s="57"/>
      <c r="BR148" s="57"/>
    </row>
    <row r="149" spans="1:70" x14ac:dyDescent="0.25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16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  <c r="AT149" s="57"/>
      <c r="AU149" s="57"/>
      <c r="AV149" s="57"/>
      <c r="AW149" s="57"/>
      <c r="AX149" s="57"/>
      <c r="AY149" s="57"/>
      <c r="AZ149" s="57"/>
      <c r="BA149" s="57"/>
      <c r="BB149" s="57"/>
      <c r="BC149" s="57"/>
      <c r="BD149" s="57"/>
      <c r="BE149" s="57"/>
      <c r="BF149" s="57"/>
      <c r="BG149" s="57"/>
      <c r="BH149" s="57"/>
      <c r="BI149" s="57"/>
      <c r="BJ149" s="57"/>
      <c r="BK149" s="57"/>
      <c r="BL149" s="57"/>
      <c r="BM149" s="57"/>
      <c r="BN149" s="57"/>
      <c r="BO149" s="57"/>
      <c r="BP149" s="57"/>
      <c r="BQ149" s="57"/>
      <c r="BR149" s="57"/>
    </row>
    <row r="150" spans="1:70" x14ac:dyDescent="0.25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  <c r="AT150" s="57"/>
      <c r="AU150" s="57"/>
      <c r="AV150" s="57"/>
      <c r="AW150" s="57"/>
      <c r="AX150" s="57"/>
      <c r="AY150" s="57"/>
      <c r="AZ150" s="57"/>
      <c r="BA150" s="57"/>
      <c r="BB150" s="57"/>
      <c r="BC150" s="57"/>
      <c r="BD150" s="57"/>
      <c r="BE150" s="57"/>
      <c r="BF150" s="57"/>
      <c r="BG150" s="57"/>
      <c r="BH150" s="57"/>
      <c r="BI150" s="57"/>
      <c r="BJ150" s="57"/>
      <c r="BK150" s="57"/>
      <c r="BL150" s="57"/>
      <c r="BM150" s="57"/>
      <c r="BN150" s="57"/>
      <c r="BO150" s="57"/>
      <c r="BP150" s="57"/>
      <c r="BQ150" s="57"/>
      <c r="BR150" s="57"/>
    </row>
    <row r="151" spans="1:70" x14ac:dyDescent="0.25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  <c r="AT151" s="57"/>
      <c r="AU151" s="57"/>
      <c r="AV151" s="57"/>
      <c r="AW151" s="57"/>
      <c r="AX151" s="57"/>
      <c r="AY151" s="57"/>
      <c r="AZ151" s="57"/>
      <c r="BA151" s="57"/>
      <c r="BB151" s="57"/>
      <c r="BC151" s="57"/>
      <c r="BD151" s="57"/>
      <c r="BE151" s="57"/>
      <c r="BF151" s="57"/>
      <c r="BG151" s="57"/>
      <c r="BH151" s="57"/>
      <c r="BI151" s="57"/>
      <c r="BJ151" s="57"/>
      <c r="BK151" s="57"/>
      <c r="BL151" s="57"/>
      <c r="BM151" s="57"/>
      <c r="BN151" s="57"/>
      <c r="BO151" s="57"/>
      <c r="BP151" s="57"/>
      <c r="BQ151" s="57"/>
      <c r="BR151" s="57"/>
    </row>
    <row r="152" spans="1:70" x14ac:dyDescent="0.25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  <c r="AT152" s="57"/>
      <c r="AU152" s="57"/>
      <c r="AV152" s="57"/>
      <c r="AW152" s="57"/>
      <c r="AX152" s="57"/>
      <c r="AY152" s="57"/>
      <c r="AZ152" s="57"/>
      <c r="BA152" s="57"/>
      <c r="BB152" s="57"/>
      <c r="BC152" s="57"/>
      <c r="BD152" s="57"/>
      <c r="BE152" s="57"/>
      <c r="BF152" s="57"/>
      <c r="BG152" s="57"/>
      <c r="BH152" s="57"/>
      <c r="BI152" s="57"/>
      <c r="BJ152" s="57"/>
      <c r="BK152" s="57"/>
      <c r="BL152" s="57"/>
      <c r="BM152" s="57"/>
      <c r="BN152" s="57"/>
      <c r="BO152" s="57"/>
      <c r="BP152" s="57"/>
      <c r="BQ152" s="57"/>
      <c r="BR152" s="57"/>
    </row>
    <row r="153" spans="1:70" x14ac:dyDescent="0.25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  <c r="AT153" s="57"/>
      <c r="AU153" s="57"/>
      <c r="AV153" s="57"/>
      <c r="AW153" s="57"/>
      <c r="AX153" s="57"/>
      <c r="AY153" s="57"/>
      <c r="AZ153" s="57"/>
      <c r="BA153" s="57"/>
      <c r="BB153" s="57"/>
      <c r="BC153" s="57"/>
      <c r="BD153" s="57"/>
      <c r="BE153" s="57"/>
      <c r="BF153" s="57"/>
      <c r="BG153" s="57"/>
      <c r="BH153" s="57"/>
      <c r="BI153" s="57"/>
      <c r="BJ153" s="57"/>
      <c r="BK153" s="57"/>
      <c r="BL153" s="57"/>
      <c r="BM153" s="57"/>
      <c r="BN153" s="57"/>
      <c r="BO153" s="57"/>
      <c r="BP153" s="57"/>
      <c r="BQ153" s="57"/>
      <c r="BR153" s="57"/>
    </row>
    <row r="154" spans="1:70" x14ac:dyDescent="0.25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  <c r="AT154" s="57"/>
      <c r="AU154" s="57"/>
      <c r="AV154" s="57"/>
      <c r="AW154" s="57"/>
      <c r="AX154" s="57"/>
      <c r="AY154" s="57"/>
      <c r="AZ154" s="57"/>
      <c r="BA154" s="57"/>
      <c r="BB154" s="57"/>
      <c r="BC154" s="57"/>
      <c r="BD154" s="57"/>
      <c r="BE154" s="57"/>
      <c r="BF154" s="57"/>
      <c r="BG154" s="57"/>
      <c r="BH154" s="57"/>
      <c r="BI154" s="57"/>
      <c r="BJ154" s="57"/>
      <c r="BK154" s="57"/>
      <c r="BL154" s="57"/>
      <c r="BM154" s="57"/>
      <c r="BN154" s="57"/>
      <c r="BO154" s="57"/>
      <c r="BP154" s="57"/>
      <c r="BQ154" s="57"/>
      <c r="BR154" s="57"/>
    </row>
    <row r="155" spans="1:70" x14ac:dyDescent="0.25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  <c r="AT155" s="57"/>
      <c r="AU155" s="57"/>
      <c r="AV155" s="57"/>
      <c r="AW155" s="57"/>
      <c r="AX155" s="57"/>
      <c r="AY155" s="57"/>
      <c r="AZ155" s="57"/>
      <c r="BA155" s="57"/>
      <c r="BB155" s="57"/>
      <c r="BC155" s="57"/>
      <c r="BD155" s="57"/>
      <c r="BE155" s="57"/>
      <c r="BF155" s="57"/>
      <c r="BG155" s="57"/>
      <c r="BH155" s="57"/>
      <c r="BI155" s="57"/>
      <c r="BJ155" s="57"/>
      <c r="BK155" s="57"/>
      <c r="BL155" s="57"/>
      <c r="BM155" s="57"/>
      <c r="BN155" s="57"/>
      <c r="BO155" s="57"/>
      <c r="BP155" s="57"/>
      <c r="BQ155" s="57"/>
      <c r="BR155" s="57"/>
    </row>
    <row r="156" spans="1:70" x14ac:dyDescent="0.25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  <c r="AT156" s="57"/>
      <c r="AU156" s="57"/>
      <c r="AV156" s="57"/>
      <c r="AW156" s="57"/>
      <c r="AX156" s="57"/>
      <c r="AY156" s="57"/>
      <c r="AZ156" s="57"/>
      <c r="BA156" s="57"/>
      <c r="BB156" s="57"/>
      <c r="BC156" s="57"/>
      <c r="BD156" s="57"/>
      <c r="BE156" s="57"/>
      <c r="BF156" s="57"/>
      <c r="BG156" s="57"/>
      <c r="BH156" s="57"/>
      <c r="BI156" s="57"/>
      <c r="BJ156" s="57"/>
      <c r="BK156" s="57"/>
      <c r="BL156" s="57"/>
      <c r="BM156" s="57"/>
      <c r="BN156" s="57"/>
      <c r="BO156" s="57"/>
      <c r="BP156" s="57"/>
      <c r="BQ156" s="57"/>
      <c r="BR156" s="57"/>
    </row>
    <row r="157" spans="1:70" x14ac:dyDescent="0.25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  <c r="AT157" s="57"/>
      <c r="AU157" s="57"/>
      <c r="AV157" s="57"/>
      <c r="AW157" s="57"/>
      <c r="AX157" s="57"/>
      <c r="AY157" s="57"/>
      <c r="AZ157" s="57"/>
      <c r="BA157" s="57"/>
      <c r="BB157" s="57"/>
      <c r="BC157" s="57"/>
      <c r="BD157" s="57"/>
      <c r="BE157" s="57"/>
      <c r="BF157" s="57"/>
      <c r="BG157" s="57"/>
      <c r="BH157" s="57"/>
      <c r="BI157" s="57"/>
      <c r="BJ157" s="57"/>
      <c r="BK157" s="57"/>
      <c r="BL157" s="57"/>
      <c r="BM157" s="57"/>
      <c r="BN157" s="57"/>
      <c r="BO157" s="57"/>
      <c r="BP157" s="57"/>
      <c r="BQ157" s="57"/>
      <c r="BR157" s="57"/>
    </row>
    <row r="158" spans="1:70" x14ac:dyDescent="0.25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  <c r="AT158" s="57"/>
      <c r="AU158" s="57"/>
      <c r="AV158" s="57"/>
      <c r="AW158" s="57"/>
      <c r="AX158" s="57"/>
      <c r="AY158" s="57"/>
      <c r="AZ158" s="57"/>
      <c r="BA158" s="57"/>
      <c r="BB158" s="57"/>
      <c r="BC158" s="57"/>
      <c r="BD158" s="57"/>
      <c r="BE158" s="57"/>
      <c r="BF158" s="57"/>
      <c r="BG158" s="57"/>
      <c r="BH158" s="57"/>
      <c r="BI158" s="57"/>
      <c r="BJ158" s="57"/>
      <c r="BK158" s="57"/>
      <c r="BL158" s="57"/>
      <c r="BM158" s="57"/>
      <c r="BN158" s="57"/>
      <c r="BO158" s="57"/>
      <c r="BP158" s="57"/>
      <c r="BQ158" s="57"/>
      <c r="BR158" s="57"/>
    </row>
    <row r="159" spans="1:70" x14ac:dyDescent="0.25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T159" s="57"/>
      <c r="AU159" s="57"/>
      <c r="AV159" s="57"/>
      <c r="AW159" s="57"/>
      <c r="AX159" s="57"/>
      <c r="AY159" s="57"/>
      <c r="AZ159" s="57"/>
      <c r="BA159" s="57"/>
      <c r="BB159" s="57"/>
      <c r="BC159" s="57"/>
      <c r="BD159" s="57"/>
      <c r="BE159" s="57"/>
      <c r="BF159" s="57"/>
      <c r="BG159" s="57"/>
      <c r="BH159" s="57"/>
      <c r="BI159" s="57"/>
      <c r="BJ159" s="57"/>
      <c r="BK159" s="57"/>
      <c r="BL159" s="57"/>
      <c r="BM159" s="57"/>
      <c r="BN159" s="57"/>
      <c r="BO159" s="57"/>
      <c r="BP159" s="57"/>
      <c r="BQ159" s="57"/>
      <c r="BR159" s="57"/>
    </row>
    <row r="160" spans="1:70" x14ac:dyDescent="0.25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  <c r="AT160" s="57"/>
      <c r="AU160" s="57"/>
      <c r="AV160" s="57"/>
      <c r="AW160" s="57"/>
      <c r="AX160" s="57"/>
      <c r="AY160" s="57"/>
      <c r="AZ160" s="57"/>
      <c r="BA160" s="57"/>
      <c r="BB160" s="57"/>
      <c r="BC160" s="57"/>
      <c r="BD160" s="57"/>
      <c r="BE160" s="57"/>
      <c r="BF160" s="57"/>
      <c r="BG160" s="57"/>
      <c r="BH160" s="57"/>
      <c r="BI160" s="57"/>
      <c r="BJ160" s="57"/>
      <c r="BK160" s="57"/>
      <c r="BL160" s="57"/>
      <c r="BM160" s="57"/>
      <c r="BN160" s="57"/>
      <c r="BO160" s="57"/>
      <c r="BP160" s="57"/>
      <c r="BQ160" s="57"/>
      <c r="BR160" s="57"/>
    </row>
    <row r="161" spans="1:70" x14ac:dyDescent="0.25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  <c r="AT161" s="57"/>
      <c r="AU161" s="57"/>
      <c r="AV161" s="57"/>
      <c r="AW161" s="57"/>
      <c r="AX161" s="57"/>
      <c r="AY161" s="57"/>
      <c r="AZ161" s="57"/>
      <c r="BA161" s="57"/>
      <c r="BB161" s="57"/>
      <c r="BC161" s="57"/>
      <c r="BD161" s="57"/>
      <c r="BE161" s="57"/>
      <c r="BF161" s="57"/>
      <c r="BG161" s="57"/>
      <c r="BH161" s="57"/>
      <c r="BI161" s="57"/>
      <c r="BJ161" s="57"/>
      <c r="BK161" s="57"/>
      <c r="BL161" s="57"/>
      <c r="BM161" s="57"/>
      <c r="BN161" s="57"/>
      <c r="BO161" s="57"/>
      <c r="BP161" s="57"/>
      <c r="BQ161" s="57"/>
      <c r="BR161" s="57"/>
    </row>
    <row r="162" spans="1:70" x14ac:dyDescent="0.25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  <c r="AT162" s="57"/>
      <c r="AU162" s="57"/>
      <c r="AV162" s="57"/>
      <c r="AW162" s="57"/>
      <c r="AX162" s="57"/>
      <c r="AY162" s="57"/>
      <c r="AZ162" s="57"/>
      <c r="BA162" s="57"/>
      <c r="BB162" s="57"/>
      <c r="BC162" s="57"/>
      <c r="BD162" s="57"/>
      <c r="BE162" s="57"/>
      <c r="BF162" s="57"/>
      <c r="BG162" s="57"/>
      <c r="BH162" s="57"/>
      <c r="BI162" s="57"/>
      <c r="BJ162" s="57"/>
      <c r="BK162" s="57"/>
      <c r="BL162" s="57"/>
      <c r="BM162" s="57"/>
      <c r="BN162" s="57"/>
      <c r="BO162" s="57"/>
      <c r="BP162" s="57"/>
      <c r="BQ162" s="57"/>
      <c r="BR162" s="57"/>
    </row>
    <row r="163" spans="1:70" x14ac:dyDescent="0.25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  <c r="AT163" s="57"/>
      <c r="AU163" s="57"/>
      <c r="AV163" s="57"/>
      <c r="AW163" s="57"/>
      <c r="AX163" s="57"/>
      <c r="AY163" s="57"/>
      <c r="AZ163" s="57"/>
      <c r="BA163" s="57"/>
      <c r="BB163" s="57"/>
      <c r="BC163" s="57"/>
      <c r="BD163" s="57"/>
      <c r="BE163" s="57"/>
      <c r="BF163" s="57"/>
      <c r="BG163" s="57"/>
      <c r="BH163" s="57"/>
      <c r="BI163" s="57"/>
      <c r="BJ163" s="57"/>
      <c r="BK163" s="57"/>
      <c r="BL163" s="57"/>
      <c r="BM163" s="57"/>
      <c r="BN163" s="57"/>
      <c r="BO163" s="57"/>
      <c r="BP163" s="57"/>
      <c r="BQ163" s="57"/>
      <c r="BR163" s="57"/>
    </row>
    <row r="164" spans="1:70" x14ac:dyDescent="0.25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  <c r="AT164" s="57"/>
      <c r="AU164" s="57"/>
      <c r="AV164" s="57"/>
      <c r="AW164" s="57"/>
      <c r="AX164" s="57"/>
      <c r="AY164" s="57"/>
      <c r="AZ164" s="57"/>
      <c r="BA164" s="57"/>
      <c r="BB164" s="57"/>
      <c r="BC164" s="57"/>
      <c r="BD164" s="57"/>
      <c r="BE164" s="57"/>
      <c r="BF164" s="57"/>
      <c r="BG164" s="57"/>
      <c r="BH164" s="57"/>
      <c r="BI164" s="57"/>
      <c r="BJ164" s="57"/>
      <c r="BK164" s="57"/>
      <c r="BL164" s="57"/>
      <c r="BM164" s="57"/>
      <c r="BN164" s="57"/>
      <c r="BO164" s="57"/>
      <c r="BP164" s="57"/>
      <c r="BQ164" s="57"/>
      <c r="BR164" s="57"/>
    </row>
    <row r="165" spans="1:70" x14ac:dyDescent="0.25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  <c r="AT165" s="57"/>
      <c r="AU165" s="57"/>
      <c r="AV165" s="57"/>
      <c r="AW165" s="57"/>
      <c r="AX165" s="57"/>
      <c r="AY165" s="57"/>
      <c r="AZ165" s="57"/>
      <c r="BA165" s="57"/>
      <c r="BB165" s="57"/>
      <c r="BC165" s="57"/>
      <c r="BD165" s="57"/>
      <c r="BE165" s="57"/>
      <c r="BF165" s="57"/>
      <c r="BG165" s="57"/>
      <c r="BH165" s="57"/>
      <c r="BI165" s="57"/>
      <c r="BJ165" s="57"/>
      <c r="BK165" s="57"/>
      <c r="BL165" s="57"/>
      <c r="BM165" s="57"/>
      <c r="BN165" s="57"/>
      <c r="BO165" s="57"/>
      <c r="BP165" s="57"/>
      <c r="BQ165" s="57"/>
      <c r="BR165" s="57"/>
    </row>
    <row r="166" spans="1:70" x14ac:dyDescent="0.25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  <c r="AT166" s="57"/>
      <c r="AU166" s="57"/>
      <c r="AV166" s="57"/>
      <c r="AW166" s="57"/>
      <c r="AX166" s="57"/>
      <c r="AY166" s="57"/>
      <c r="AZ166" s="57"/>
      <c r="BA166" s="57"/>
      <c r="BB166" s="57"/>
      <c r="BC166" s="57"/>
      <c r="BD166" s="57"/>
      <c r="BE166" s="57"/>
      <c r="BF166" s="57"/>
      <c r="BG166" s="57"/>
      <c r="BH166" s="57"/>
      <c r="BI166" s="57"/>
      <c r="BJ166" s="57"/>
      <c r="BK166" s="57"/>
      <c r="BL166" s="57"/>
      <c r="BM166" s="57"/>
      <c r="BN166" s="57"/>
      <c r="BO166" s="57"/>
      <c r="BP166" s="57"/>
      <c r="BQ166" s="57"/>
      <c r="BR166" s="57"/>
    </row>
    <row r="167" spans="1:70" x14ac:dyDescent="0.25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  <c r="AT167" s="57"/>
      <c r="AU167" s="57"/>
      <c r="AV167" s="57"/>
      <c r="AW167" s="57"/>
      <c r="AX167" s="57"/>
      <c r="AY167" s="57"/>
      <c r="AZ167" s="57"/>
      <c r="BA167" s="57"/>
      <c r="BB167" s="57"/>
      <c r="BC167" s="57"/>
      <c r="BD167" s="57"/>
      <c r="BE167" s="57"/>
      <c r="BF167" s="57"/>
      <c r="BG167" s="57"/>
      <c r="BH167" s="57"/>
      <c r="BI167" s="57"/>
      <c r="BJ167" s="57"/>
      <c r="BK167" s="57"/>
      <c r="BL167" s="57"/>
      <c r="BM167" s="57"/>
      <c r="BN167" s="57"/>
      <c r="BO167" s="57"/>
      <c r="BP167" s="57"/>
      <c r="BQ167" s="57"/>
      <c r="BR167" s="57"/>
    </row>
    <row r="168" spans="1:70" x14ac:dyDescent="0.25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  <c r="AT168" s="57"/>
      <c r="AU168" s="57"/>
      <c r="AV168" s="57"/>
      <c r="AW168" s="57"/>
      <c r="AX168" s="57"/>
      <c r="AY168" s="57"/>
      <c r="AZ168" s="57"/>
      <c r="BA168" s="57"/>
      <c r="BB168" s="57"/>
      <c r="BC168" s="57"/>
      <c r="BD168" s="57"/>
      <c r="BE168" s="57"/>
      <c r="BF168" s="57"/>
      <c r="BG168" s="57"/>
      <c r="BH168" s="57"/>
      <c r="BI168" s="57"/>
      <c r="BJ168" s="57"/>
      <c r="BK168" s="57"/>
      <c r="BL168" s="57"/>
      <c r="BM168" s="57"/>
      <c r="BN168" s="57"/>
      <c r="BO168" s="57"/>
      <c r="BP168" s="57"/>
      <c r="BQ168" s="57"/>
      <c r="BR168" s="57"/>
    </row>
    <row r="169" spans="1:70" x14ac:dyDescent="0.25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  <c r="AT169" s="57"/>
      <c r="AU169" s="57"/>
      <c r="AV169" s="57"/>
      <c r="AW169" s="57"/>
      <c r="AX169" s="57"/>
      <c r="AY169" s="57"/>
      <c r="AZ169" s="57"/>
      <c r="BA169" s="57"/>
      <c r="BB169" s="57"/>
      <c r="BC169" s="57"/>
      <c r="BD169" s="57"/>
      <c r="BE169" s="57"/>
      <c r="BF169" s="57"/>
      <c r="BG169" s="57"/>
      <c r="BH169" s="57"/>
      <c r="BI169" s="57"/>
      <c r="BJ169" s="57"/>
      <c r="BK169" s="57"/>
      <c r="BL169" s="57"/>
      <c r="BM169" s="57"/>
      <c r="BN169" s="57"/>
      <c r="BO169" s="57"/>
      <c r="BP169" s="57"/>
      <c r="BQ169" s="57"/>
      <c r="BR169" s="57"/>
    </row>
    <row r="170" spans="1:70" x14ac:dyDescent="0.25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  <c r="AT170" s="57"/>
      <c r="AU170" s="57"/>
      <c r="AV170" s="57"/>
      <c r="AW170" s="57"/>
      <c r="AX170" s="57"/>
      <c r="AY170" s="57"/>
      <c r="AZ170" s="57"/>
      <c r="BA170" s="57"/>
      <c r="BB170" s="57"/>
      <c r="BC170" s="57"/>
      <c r="BD170" s="57"/>
      <c r="BE170" s="57"/>
      <c r="BF170" s="57"/>
      <c r="BG170" s="57"/>
      <c r="BH170" s="57"/>
      <c r="BI170" s="57"/>
      <c r="BJ170" s="57"/>
      <c r="BK170" s="57"/>
      <c r="BL170" s="57"/>
      <c r="BM170" s="57"/>
      <c r="BN170" s="57"/>
      <c r="BO170" s="57"/>
      <c r="BP170" s="57"/>
      <c r="BQ170" s="57"/>
      <c r="BR170" s="57"/>
    </row>
    <row r="171" spans="1:70" x14ac:dyDescent="0.25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  <c r="AT171" s="57"/>
      <c r="AU171" s="57"/>
      <c r="AV171" s="57"/>
      <c r="AW171" s="57"/>
      <c r="AX171" s="57"/>
      <c r="AY171" s="57"/>
      <c r="AZ171" s="57"/>
      <c r="BA171" s="57"/>
      <c r="BB171" s="57"/>
      <c r="BC171" s="57"/>
      <c r="BD171" s="57"/>
      <c r="BE171" s="57"/>
      <c r="BF171" s="57"/>
      <c r="BG171" s="57"/>
      <c r="BH171" s="57"/>
      <c r="BI171" s="57"/>
      <c r="BJ171" s="57"/>
      <c r="BK171" s="57"/>
      <c r="BL171" s="57"/>
      <c r="BM171" s="57"/>
      <c r="BN171" s="57"/>
      <c r="BO171" s="57"/>
      <c r="BP171" s="57"/>
      <c r="BQ171" s="57"/>
      <c r="BR171" s="57"/>
    </row>
    <row r="172" spans="1:70" x14ac:dyDescent="0.25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  <c r="AT172" s="57"/>
      <c r="AU172" s="57"/>
      <c r="AV172" s="57"/>
      <c r="AW172" s="57"/>
      <c r="AX172" s="57"/>
      <c r="AY172" s="57"/>
      <c r="AZ172" s="57"/>
      <c r="BA172" s="57"/>
      <c r="BB172" s="57"/>
      <c r="BC172" s="57"/>
      <c r="BD172" s="57"/>
      <c r="BE172" s="57"/>
      <c r="BF172" s="57"/>
      <c r="BG172" s="57"/>
      <c r="BH172" s="57"/>
      <c r="BI172" s="57"/>
      <c r="BJ172" s="57"/>
      <c r="BK172" s="57"/>
      <c r="BL172" s="57"/>
      <c r="BM172" s="57"/>
      <c r="BN172" s="57"/>
      <c r="BO172" s="57"/>
      <c r="BP172" s="57"/>
      <c r="BQ172" s="57"/>
      <c r="BR172" s="57"/>
    </row>
    <row r="173" spans="1:70" x14ac:dyDescent="0.25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  <c r="AT173" s="57"/>
      <c r="AU173" s="57"/>
      <c r="AV173" s="57"/>
      <c r="AW173" s="57"/>
      <c r="AX173" s="57"/>
      <c r="AY173" s="57"/>
      <c r="AZ173" s="57"/>
      <c r="BA173" s="57"/>
      <c r="BB173" s="57"/>
      <c r="BC173" s="57"/>
      <c r="BD173" s="57"/>
      <c r="BE173" s="57"/>
      <c r="BF173" s="57"/>
      <c r="BG173" s="57"/>
      <c r="BH173" s="57"/>
      <c r="BI173" s="57"/>
      <c r="BJ173" s="57"/>
      <c r="BK173" s="57"/>
      <c r="BL173" s="57"/>
      <c r="BM173" s="57"/>
      <c r="BN173" s="57"/>
      <c r="BO173" s="57"/>
      <c r="BP173" s="57"/>
      <c r="BQ173" s="57"/>
      <c r="BR173" s="57"/>
    </row>
    <row r="174" spans="1:70" x14ac:dyDescent="0.25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  <c r="AT174" s="57"/>
      <c r="AU174" s="57"/>
      <c r="AV174" s="57"/>
      <c r="AW174" s="57"/>
      <c r="AX174" s="57"/>
      <c r="AY174" s="57"/>
      <c r="AZ174" s="57"/>
      <c r="BA174" s="57"/>
      <c r="BB174" s="57"/>
      <c r="BC174" s="57"/>
      <c r="BD174" s="57"/>
      <c r="BE174" s="57"/>
      <c r="BF174" s="57"/>
      <c r="BG174" s="57"/>
      <c r="BH174" s="57"/>
      <c r="BI174" s="57"/>
      <c r="BJ174" s="57"/>
      <c r="BK174" s="57"/>
      <c r="BL174" s="57"/>
      <c r="BM174" s="57"/>
      <c r="BN174" s="57"/>
      <c r="BO174" s="57"/>
      <c r="BP174" s="57"/>
      <c r="BQ174" s="57"/>
      <c r="BR174" s="57"/>
    </row>
    <row r="175" spans="1:70" x14ac:dyDescent="0.25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  <c r="AT175" s="57"/>
      <c r="AU175" s="57"/>
      <c r="AV175" s="57"/>
      <c r="AW175" s="57"/>
      <c r="AX175" s="57"/>
      <c r="AY175" s="57"/>
      <c r="AZ175" s="57"/>
      <c r="BA175" s="57"/>
      <c r="BB175" s="57"/>
      <c r="BC175" s="57"/>
      <c r="BD175" s="57"/>
      <c r="BE175" s="57"/>
      <c r="BF175" s="57"/>
      <c r="BG175" s="57"/>
      <c r="BH175" s="57"/>
      <c r="BI175" s="57"/>
      <c r="BJ175" s="57"/>
      <c r="BK175" s="57"/>
      <c r="BL175" s="57"/>
      <c r="BM175" s="57"/>
      <c r="BN175" s="57"/>
      <c r="BO175" s="57"/>
      <c r="BP175" s="57"/>
      <c r="BQ175" s="57"/>
      <c r="BR175" s="57"/>
    </row>
    <row r="176" spans="1:70" x14ac:dyDescent="0.25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  <c r="AT176" s="57"/>
      <c r="AU176" s="57"/>
      <c r="AV176" s="57"/>
      <c r="AW176" s="57"/>
      <c r="AX176" s="57"/>
      <c r="AY176" s="57"/>
      <c r="AZ176" s="57"/>
      <c r="BA176" s="57"/>
      <c r="BB176" s="57"/>
      <c r="BC176" s="57"/>
      <c r="BD176" s="57"/>
      <c r="BE176" s="57"/>
      <c r="BF176" s="57"/>
      <c r="BG176" s="57"/>
      <c r="BH176" s="57"/>
      <c r="BI176" s="57"/>
      <c r="BJ176" s="57"/>
      <c r="BK176" s="57"/>
      <c r="BL176" s="57"/>
      <c r="BM176" s="57"/>
      <c r="BN176" s="57"/>
      <c r="BO176" s="57"/>
      <c r="BP176" s="57"/>
      <c r="BQ176" s="57"/>
      <c r="BR176" s="57"/>
    </row>
    <row r="177" spans="1:70" x14ac:dyDescent="0.25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  <c r="AT177" s="57"/>
      <c r="AU177" s="57"/>
      <c r="AV177" s="57"/>
      <c r="AW177" s="57"/>
      <c r="AX177" s="57"/>
      <c r="AY177" s="57"/>
      <c r="AZ177" s="57"/>
      <c r="BA177" s="57"/>
      <c r="BB177" s="57"/>
      <c r="BC177" s="57"/>
      <c r="BD177" s="57"/>
      <c r="BE177" s="57"/>
      <c r="BF177" s="57"/>
      <c r="BG177" s="57"/>
      <c r="BH177" s="57"/>
      <c r="BI177" s="57"/>
      <c r="BJ177" s="57"/>
      <c r="BK177" s="57"/>
      <c r="BL177" s="57"/>
      <c r="BM177" s="57"/>
      <c r="BN177" s="57"/>
      <c r="BO177" s="57"/>
      <c r="BP177" s="57"/>
      <c r="BQ177" s="57"/>
      <c r="BR177" s="57"/>
    </row>
    <row r="178" spans="1:70" x14ac:dyDescent="0.25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  <c r="AT178" s="57"/>
      <c r="AU178" s="57"/>
      <c r="AV178" s="57"/>
      <c r="AW178" s="57"/>
      <c r="AX178" s="57"/>
      <c r="AY178" s="57"/>
      <c r="AZ178" s="57"/>
      <c r="BA178" s="57"/>
      <c r="BB178" s="57"/>
      <c r="BC178" s="57"/>
      <c r="BD178" s="57"/>
      <c r="BE178" s="57"/>
      <c r="BF178" s="57"/>
      <c r="BG178" s="57"/>
      <c r="BH178" s="57"/>
      <c r="BI178" s="57"/>
      <c r="BJ178" s="57"/>
      <c r="BK178" s="57"/>
      <c r="BL178" s="57"/>
      <c r="BM178" s="57"/>
      <c r="BN178" s="57"/>
      <c r="BO178" s="57"/>
      <c r="BP178" s="57"/>
      <c r="BQ178" s="57"/>
      <c r="BR178" s="57"/>
    </row>
    <row r="179" spans="1:70" x14ac:dyDescent="0.25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  <c r="AT179" s="57"/>
      <c r="AU179" s="57"/>
      <c r="AV179" s="57"/>
      <c r="AW179" s="57"/>
      <c r="AX179" s="57"/>
      <c r="AY179" s="57"/>
      <c r="AZ179" s="57"/>
      <c r="BA179" s="57"/>
      <c r="BB179" s="57"/>
      <c r="BC179" s="57"/>
      <c r="BD179" s="57"/>
      <c r="BE179" s="57"/>
      <c r="BF179" s="57"/>
      <c r="BG179" s="57"/>
      <c r="BH179" s="57"/>
      <c r="BI179" s="57"/>
      <c r="BJ179" s="57"/>
      <c r="BK179" s="57"/>
      <c r="BL179" s="57"/>
      <c r="BM179" s="57"/>
      <c r="BN179" s="57"/>
      <c r="BO179" s="57"/>
      <c r="BP179" s="57"/>
      <c r="BQ179" s="57"/>
      <c r="BR179" s="57"/>
    </row>
    <row r="180" spans="1:70" x14ac:dyDescent="0.25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  <c r="AT180" s="57"/>
      <c r="AU180" s="57"/>
      <c r="AV180" s="57"/>
      <c r="AW180" s="57"/>
      <c r="AX180" s="57"/>
      <c r="AY180" s="57"/>
      <c r="AZ180" s="57"/>
      <c r="BA180" s="57"/>
      <c r="BB180" s="57"/>
      <c r="BC180" s="57"/>
      <c r="BD180" s="57"/>
      <c r="BE180" s="57"/>
      <c r="BF180" s="57"/>
      <c r="BG180" s="57"/>
      <c r="BH180" s="57"/>
      <c r="BI180" s="57"/>
      <c r="BJ180" s="57"/>
      <c r="BK180" s="57"/>
      <c r="BL180" s="57"/>
      <c r="BM180" s="57"/>
      <c r="BN180" s="57"/>
      <c r="BO180" s="57"/>
      <c r="BP180" s="57"/>
      <c r="BQ180" s="57"/>
      <c r="BR180" s="57"/>
    </row>
    <row r="181" spans="1:70" x14ac:dyDescent="0.25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  <c r="AT181" s="57"/>
      <c r="AU181" s="57"/>
      <c r="AV181" s="57"/>
      <c r="AW181" s="57"/>
      <c r="AX181" s="57"/>
      <c r="AY181" s="57"/>
      <c r="AZ181" s="57"/>
      <c r="BA181" s="57"/>
      <c r="BB181" s="57"/>
      <c r="BC181" s="57"/>
      <c r="BD181" s="57"/>
      <c r="BE181" s="57"/>
      <c r="BF181" s="57"/>
      <c r="BG181" s="57"/>
      <c r="BH181" s="57"/>
      <c r="BI181" s="57"/>
      <c r="BJ181" s="57"/>
      <c r="BK181" s="57"/>
      <c r="BL181" s="57"/>
      <c r="BM181" s="57"/>
      <c r="BN181" s="57"/>
      <c r="BO181" s="57"/>
      <c r="BP181" s="57"/>
      <c r="BQ181" s="57"/>
      <c r="BR181" s="57"/>
    </row>
    <row r="182" spans="1:70" x14ac:dyDescent="0.25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  <c r="AT182" s="57"/>
      <c r="AU182" s="57"/>
      <c r="AV182" s="57"/>
      <c r="AW182" s="57"/>
      <c r="AX182" s="57"/>
      <c r="AY182" s="57"/>
      <c r="AZ182" s="57"/>
      <c r="BA182" s="57"/>
      <c r="BB182" s="57"/>
      <c r="BC182" s="57"/>
      <c r="BD182" s="57"/>
      <c r="BE182" s="57"/>
      <c r="BF182" s="57"/>
      <c r="BG182" s="57"/>
      <c r="BH182" s="57"/>
      <c r="BI182" s="57"/>
      <c r="BJ182" s="57"/>
      <c r="BK182" s="57"/>
      <c r="BL182" s="57"/>
      <c r="BM182" s="57"/>
      <c r="BN182" s="57"/>
      <c r="BO182" s="57"/>
      <c r="BP182" s="57"/>
      <c r="BQ182" s="57"/>
      <c r="BR182" s="57"/>
    </row>
    <row r="183" spans="1:70" x14ac:dyDescent="0.25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  <c r="AT183" s="57"/>
      <c r="AU183" s="57"/>
      <c r="AV183" s="57"/>
      <c r="AW183" s="57"/>
      <c r="AX183" s="57"/>
      <c r="AY183" s="57"/>
      <c r="AZ183" s="57"/>
      <c r="BA183" s="57"/>
      <c r="BB183" s="57"/>
      <c r="BC183" s="57"/>
      <c r="BD183" s="57"/>
      <c r="BE183" s="57"/>
      <c r="BF183" s="57"/>
      <c r="BG183" s="57"/>
      <c r="BH183" s="57"/>
      <c r="BI183" s="57"/>
      <c r="BJ183" s="57"/>
      <c r="BK183" s="57"/>
      <c r="BL183" s="57"/>
      <c r="BM183" s="57"/>
      <c r="BN183" s="57"/>
      <c r="BO183" s="57"/>
      <c r="BP183" s="57"/>
      <c r="BQ183" s="57"/>
      <c r="BR183" s="57"/>
    </row>
    <row r="184" spans="1:70" x14ac:dyDescent="0.25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T184" s="57"/>
      <c r="AU184" s="57"/>
      <c r="AV184" s="57"/>
      <c r="AW184" s="57"/>
      <c r="AX184" s="57"/>
      <c r="AY184" s="57"/>
      <c r="AZ184" s="57"/>
      <c r="BA184" s="57"/>
      <c r="BB184" s="57"/>
      <c r="BC184" s="57"/>
      <c r="BD184" s="57"/>
      <c r="BE184" s="57"/>
      <c r="BF184" s="57"/>
      <c r="BG184" s="57"/>
      <c r="BH184" s="57"/>
      <c r="BI184" s="57"/>
      <c r="BJ184" s="57"/>
      <c r="BK184" s="57"/>
      <c r="BL184" s="57"/>
      <c r="BM184" s="57"/>
      <c r="BN184" s="57"/>
      <c r="BO184" s="57"/>
      <c r="BP184" s="57"/>
      <c r="BQ184" s="57"/>
      <c r="BR184" s="57"/>
    </row>
    <row r="185" spans="1:70" x14ac:dyDescent="0.25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  <c r="AT185" s="57"/>
      <c r="AU185" s="57"/>
      <c r="AV185" s="57"/>
      <c r="AW185" s="57"/>
      <c r="AX185" s="57"/>
      <c r="AY185" s="57"/>
      <c r="AZ185" s="57"/>
      <c r="BA185" s="57"/>
      <c r="BB185" s="57"/>
      <c r="BC185" s="57"/>
      <c r="BD185" s="57"/>
      <c r="BE185" s="57"/>
      <c r="BF185" s="57"/>
      <c r="BG185" s="57"/>
      <c r="BH185" s="57"/>
      <c r="BI185" s="57"/>
      <c r="BJ185" s="57"/>
      <c r="BK185" s="57"/>
      <c r="BL185" s="57"/>
      <c r="BM185" s="57"/>
      <c r="BN185" s="57"/>
      <c r="BO185" s="57"/>
      <c r="BP185" s="57"/>
      <c r="BQ185" s="57"/>
      <c r="BR185" s="57"/>
    </row>
    <row r="186" spans="1:70" x14ac:dyDescent="0.25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  <c r="AT186" s="57"/>
      <c r="AU186" s="57"/>
      <c r="AV186" s="57"/>
      <c r="AW186" s="57"/>
      <c r="AX186" s="57"/>
      <c r="AY186" s="57"/>
      <c r="AZ186" s="57"/>
      <c r="BA186" s="57"/>
      <c r="BB186" s="57"/>
      <c r="BC186" s="57"/>
      <c r="BD186" s="57"/>
      <c r="BE186" s="57"/>
      <c r="BF186" s="57"/>
      <c r="BG186" s="57"/>
      <c r="BH186" s="57"/>
      <c r="BI186" s="57"/>
      <c r="BJ186" s="57"/>
      <c r="BK186" s="57"/>
      <c r="BL186" s="57"/>
      <c r="BM186" s="57"/>
      <c r="BN186" s="57"/>
      <c r="BO186" s="57"/>
      <c r="BP186" s="57"/>
      <c r="BQ186" s="57"/>
      <c r="BR186" s="57"/>
    </row>
    <row r="187" spans="1:70" x14ac:dyDescent="0.25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  <c r="AT187" s="57"/>
      <c r="AU187" s="57"/>
      <c r="AV187" s="57"/>
      <c r="AW187" s="57"/>
      <c r="AX187" s="57"/>
      <c r="AY187" s="57"/>
      <c r="AZ187" s="57"/>
      <c r="BA187" s="57"/>
      <c r="BB187" s="57"/>
      <c r="BC187" s="57"/>
      <c r="BD187" s="57"/>
      <c r="BE187" s="57"/>
      <c r="BF187" s="57"/>
      <c r="BG187" s="57"/>
      <c r="BH187" s="57"/>
      <c r="BI187" s="57"/>
      <c r="BJ187" s="57"/>
      <c r="BK187" s="57"/>
      <c r="BL187" s="57"/>
      <c r="BM187" s="57"/>
      <c r="BN187" s="57"/>
      <c r="BO187" s="57"/>
      <c r="BP187" s="57"/>
      <c r="BQ187" s="57"/>
      <c r="BR187" s="57"/>
    </row>
    <row r="188" spans="1:70" x14ac:dyDescent="0.25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  <c r="AT188" s="57"/>
      <c r="AU188" s="57"/>
      <c r="AV188" s="57"/>
      <c r="AW188" s="57"/>
      <c r="AX188" s="57"/>
      <c r="AY188" s="57"/>
      <c r="AZ188" s="57"/>
      <c r="BA188" s="57"/>
      <c r="BB188" s="57"/>
      <c r="BC188" s="57"/>
      <c r="BD188" s="57"/>
      <c r="BE188" s="57"/>
      <c r="BF188" s="57"/>
      <c r="BG188" s="57"/>
      <c r="BH188" s="57"/>
      <c r="BI188" s="57"/>
      <c r="BJ188" s="57"/>
      <c r="BK188" s="57"/>
      <c r="BL188" s="57"/>
      <c r="BM188" s="57"/>
      <c r="BN188" s="57"/>
      <c r="BO188" s="57"/>
      <c r="BP188" s="57"/>
      <c r="BQ188" s="57"/>
      <c r="BR188" s="57"/>
    </row>
    <row r="189" spans="1:70" x14ac:dyDescent="0.25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  <c r="AT189" s="57"/>
      <c r="AU189" s="57"/>
      <c r="AV189" s="57"/>
      <c r="AW189" s="57"/>
      <c r="AX189" s="57"/>
      <c r="AY189" s="57"/>
      <c r="AZ189" s="57"/>
      <c r="BA189" s="57"/>
      <c r="BB189" s="57"/>
      <c r="BC189" s="57"/>
      <c r="BD189" s="57"/>
      <c r="BE189" s="57"/>
      <c r="BF189" s="57"/>
      <c r="BG189" s="57"/>
      <c r="BH189" s="57"/>
      <c r="BI189" s="57"/>
      <c r="BJ189" s="57"/>
      <c r="BK189" s="57"/>
      <c r="BL189" s="57"/>
      <c r="BM189" s="57"/>
      <c r="BN189" s="57"/>
      <c r="BO189" s="57"/>
      <c r="BP189" s="57"/>
      <c r="BQ189" s="57"/>
      <c r="BR189" s="57"/>
    </row>
    <row r="190" spans="1:70" x14ac:dyDescent="0.25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  <c r="AT190" s="57"/>
      <c r="AU190" s="57"/>
      <c r="AV190" s="57"/>
      <c r="AW190" s="57"/>
      <c r="AX190" s="57"/>
      <c r="AY190" s="57"/>
      <c r="AZ190" s="57"/>
      <c r="BA190" s="57"/>
      <c r="BB190" s="57"/>
      <c r="BC190" s="57"/>
      <c r="BD190" s="57"/>
      <c r="BE190" s="57"/>
      <c r="BF190" s="57"/>
      <c r="BG190" s="57"/>
      <c r="BH190" s="57"/>
      <c r="BI190" s="57"/>
      <c r="BJ190" s="57"/>
      <c r="BK190" s="57"/>
      <c r="BL190" s="57"/>
      <c r="BM190" s="57"/>
      <c r="BN190" s="57"/>
      <c r="BO190" s="57"/>
      <c r="BP190" s="57"/>
      <c r="BQ190" s="57"/>
      <c r="BR190" s="57"/>
    </row>
    <row r="191" spans="1:70" x14ac:dyDescent="0.25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  <c r="AT191" s="57"/>
      <c r="AU191" s="57"/>
      <c r="AV191" s="57"/>
      <c r="AW191" s="57"/>
      <c r="AX191" s="57"/>
      <c r="AY191" s="57"/>
      <c r="AZ191" s="57"/>
      <c r="BA191" s="57"/>
      <c r="BB191" s="57"/>
      <c r="BC191" s="57"/>
      <c r="BD191" s="57"/>
      <c r="BE191" s="57"/>
      <c r="BF191" s="57"/>
      <c r="BG191" s="57"/>
      <c r="BH191" s="57"/>
      <c r="BI191" s="57"/>
      <c r="BJ191" s="57"/>
      <c r="BK191" s="57"/>
      <c r="BL191" s="57"/>
      <c r="BM191" s="57"/>
      <c r="BN191" s="57"/>
      <c r="BO191" s="57"/>
      <c r="BP191" s="57"/>
      <c r="BQ191" s="57"/>
      <c r="BR191" s="57"/>
    </row>
    <row r="192" spans="1:70" x14ac:dyDescent="0.25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  <c r="AT192" s="57"/>
      <c r="AU192" s="57"/>
      <c r="AV192" s="57"/>
      <c r="AW192" s="57"/>
      <c r="AX192" s="57"/>
      <c r="AY192" s="57"/>
      <c r="AZ192" s="57"/>
      <c r="BA192" s="57"/>
      <c r="BB192" s="57"/>
      <c r="BC192" s="57"/>
      <c r="BD192" s="57"/>
      <c r="BE192" s="57"/>
      <c r="BF192" s="57"/>
      <c r="BG192" s="57"/>
      <c r="BH192" s="57"/>
      <c r="BI192" s="57"/>
      <c r="BJ192" s="57"/>
      <c r="BK192" s="57"/>
      <c r="BL192" s="57"/>
      <c r="BM192" s="57"/>
      <c r="BN192" s="57"/>
      <c r="BO192" s="57"/>
      <c r="BP192" s="57"/>
      <c r="BQ192" s="57"/>
      <c r="BR192" s="57"/>
    </row>
    <row r="193" spans="1:70" x14ac:dyDescent="0.25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  <c r="AT193" s="57"/>
      <c r="AU193" s="57"/>
      <c r="AV193" s="57"/>
      <c r="AW193" s="57"/>
      <c r="AX193" s="57"/>
      <c r="AY193" s="57"/>
      <c r="AZ193" s="57"/>
      <c r="BA193" s="57"/>
      <c r="BB193" s="57"/>
      <c r="BC193" s="57"/>
      <c r="BD193" s="57"/>
      <c r="BE193" s="57"/>
      <c r="BF193" s="57"/>
      <c r="BG193" s="57"/>
      <c r="BH193" s="57"/>
      <c r="BI193" s="57"/>
      <c r="BJ193" s="57"/>
      <c r="BK193" s="57"/>
      <c r="BL193" s="57"/>
      <c r="BM193" s="57"/>
      <c r="BN193" s="57"/>
      <c r="BO193" s="57"/>
      <c r="BP193" s="57"/>
      <c r="BQ193" s="57"/>
      <c r="BR193" s="57"/>
    </row>
    <row r="194" spans="1:70" x14ac:dyDescent="0.25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  <c r="AT194" s="57"/>
      <c r="AU194" s="57"/>
      <c r="AV194" s="57"/>
      <c r="AW194" s="57"/>
      <c r="AX194" s="57"/>
      <c r="AY194" s="57"/>
      <c r="AZ194" s="57"/>
      <c r="BA194" s="57"/>
      <c r="BB194" s="57"/>
      <c r="BC194" s="57"/>
      <c r="BD194" s="57"/>
      <c r="BE194" s="57"/>
      <c r="BF194" s="57"/>
      <c r="BG194" s="57"/>
      <c r="BH194" s="57"/>
      <c r="BI194" s="57"/>
      <c r="BJ194" s="57"/>
      <c r="BK194" s="57"/>
      <c r="BL194" s="57"/>
      <c r="BM194" s="57"/>
      <c r="BN194" s="57"/>
      <c r="BO194" s="57"/>
      <c r="BP194" s="57"/>
      <c r="BQ194" s="57"/>
      <c r="BR194" s="57"/>
    </row>
    <row r="195" spans="1:70" x14ac:dyDescent="0.25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  <c r="AT195" s="57"/>
      <c r="AU195" s="57"/>
      <c r="AV195" s="57"/>
      <c r="AW195" s="57"/>
      <c r="AX195" s="57"/>
      <c r="AY195" s="57"/>
      <c r="AZ195" s="57"/>
      <c r="BA195" s="57"/>
      <c r="BB195" s="57"/>
      <c r="BC195" s="57"/>
      <c r="BD195" s="57"/>
      <c r="BE195" s="57"/>
      <c r="BF195" s="57"/>
      <c r="BG195" s="57"/>
      <c r="BH195" s="57"/>
      <c r="BI195" s="57"/>
      <c r="BJ195" s="57"/>
      <c r="BK195" s="57"/>
      <c r="BL195" s="57"/>
      <c r="BM195" s="57"/>
      <c r="BN195" s="57"/>
      <c r="BO195" s="57"/>
      <c r="BP195" s="57"/>
      <c r="BQ195" s="57"/>
      <c r="BR195" s="57"/>
    </row>
    <row r="196" spans="1:70" x14ac:dyDescent="0.25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  <c r="AT196" s="57"/>
      <c r="AU196" s="57"/>
      <c r="AV196" s="57"/>
      <c r="AW196" s="57"/>
      <c r="AX196" s="57"/>
      <c r="AY196" s="57"/>
      <c r="AZ196" s="57"/>
      <c r="BA196" s="57"/>
      <c r="BB196" s="57"/>
      <c r="BC196" s="57"/>
      <c r="BD196" s="57"/>
      <c r="BE196" s="57"/>
      <c r="BF196" s="57"/>
      <c r="BG196" s="57"/>
      <c r="BH196" s="57"/>
      <c r="BI196" s="57"/>
      <c r="BJ196" s="57"/>
      <c r="BK196" s="57"/>
      <c r="BL196" s="57"/>
      <c r="BM196" s="57"/>
      <c r="BN196" s="57"/>
      <c r="BO196" s="57"/>
      <c r="BP196" s="57"/>
      <c r="BQ196" s="57"/>
      <c r="BR196" s="57"/>
    </row>
    <row r="197" spans="1:70" x14ac:dyDescent="0.25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  <c r="AT197" s="57"/>
      <c r="AU197" s="57"/>
      <c r="AV197" s="57"/>
      <c r="AW197" s="57"/>
      <c r="AX197" s="57"/>
      <c r="AY197" s="57"/>
      <c r="AZ197" s="57"/>
      <c r="BA197" s="57"/>
      <c r="BB197" s="57"/>
      <c r="BC197" s="57"/>
      <c r="BD197" s="57"/>
      <c r="BE197" s="57"/>
      <c r="BF197" s="57"/>
      <c r="BG197" s="57"/>
      <c r="BH197" s="57"/>
      <c r="BI197" s="57"/>
      <c r="BJ197" s="57"/>
      <c r="BK197" s="57"/>
      <c r="BL197" s="57"/>
      <c r="BM197" s="57"/>
      <c r="BN197" s="57"/>
      <c r="BO197" s="57"/>
      <c r="BP197" s="57"/>
      <c r="BQ197" s="57"/>
      <c r="BR197" s="57"/>
    </row>
    <row r="198" spans="1:70" x14ac:dyDescent="0.25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  <c r="AT198" s="57"/>
      <c r="AU198" s="57"/>
      <c r="AV198" s="57"/>
      <c r="AW198" s="57"/>
      <c r="AX198" s="57"/>
      <c r="AY198" s="57"/>
      <c r="AZ198" s="57"/>
      <c r="BA198" s="57"/>
      <c r="BB198" s="57"/>
      <c r="BC198" s="57"/>
      <c r="BD198" s="57"/>
      <c r="BE198" s="57"/>
      <c r="BF198" s="57"/>
      <c r="BG198" s="57"/>
      <c r="BH198" s="57"/>
      <c r="BI198" s="57"/>
      <c r="BJ198" s="57"/>
      <c r="BK198" s="57"/>
      <c r="BL198" s="57"/>
      <c r="BM198" s="57"/>
      <c r="BN198" s="57"/>
      <c r="BO198" s="57"/>
      <c r="BP198" s="57"/>
      <c r="BQ198" s="57"/>
      <c r="BR198" s="57"/>
    </row>
    <row r="199" spans="1:70" x14ac:dyDescent="0.25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  <c r="AT199" s="57"/>
      <c r="AU199" s="57"/>
      <c r="AV199" s="57"/>
      <c r="AW199" s="57"/>
      <c r="AX199" s="57"/>
      <c r="AY199" s="57"/>
      <c r="AZ199" s="57"/>
      <c r="BA199" s="57"/>
      <c r="BB199" s="57"/>
      <c r="BC199" s="57"/>
      <c r="BD199" s="57"/>
      <c r="BE199" s="57"/>
      <c r="BF199" s="57"/>
      <c r="BG199" s="57"/>
      <c r="BH199" s="57"/>
      <c r="BI199" s="57"/>
      <c r="BJ199" s="57"/>
      <c r="BK199" s="57"/>
      <c r="BL199" s="57"/>
      <c r="BM199" s="57"/>
      <c r="BN199" s="57"/>
      <c r="BO199" s="57"/>
      <c r="BP199" s="57"/>
      <c r="BQ199" s="57"/>
      <c r="BR199" s="57"/>
    </row>
    <row r="200" spans="1:70" x14ac:dyDescent="0.25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  <c r="AT200" s="57"/>
      <c r="AU200" s="57"/>
      <c r="AV200" s="57"/>
      <c r="AW200" s="57"/>
      <c r="AX200" s="57"/>
      <c r="AY200" s="57"/>
      <c r="AZ200" s="57"/>
      <c r="BA200" s="57"/>
      <c r="BB200" s="57"/>
      <c r="BC200" s="57"/>
      <c r="BD200" s="57"/>
      <c r="BE200" s="57"/>
      <c r="BF200" s="57"/>
      <c r="BG200" s="57"/>
      <c r="BH200" s="57"/>
      <c r="BI200" s="57"/>
      <c r="BJ200" s="57"/>
      <c r="BK200" s="57"/>
      <c r="BL200" s="57"/>
      <c r="BM200" s="57"/>
      <c r="BN200" s="57"/>
      <c r="BO200" s="57"/>
      <c r="BP200" s="57"/>
      <c r="BQ200" s="57"/>
      <c r="BR200" s="57"/>
    </row>
    <row r="201" spans="1:70" x14ac:dyDescent="0.25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  <c r="AT201" s="57"/>
      <c r="AU201" s="57"/>
      <c r="AV201" s="57"/>
      <c r="AW201" s="57"/>
      <c r="AX201" s="57"/>
      <c r="AY201" s="57"/>
      <c r="AZ201" s="57"/>
      <c r="BA201" s="57"/>
      <c r="BB201" s="57"/>
      <c r="BC201" s="57"/>
      <c r="BD201" s="57"/>
      <c r="BE201" s="57"/>
      <c r="BF201" s="57"/>
      <c r="BG201" s="57"/>
      <c r="BH201" s="57"/>
      <c r="BI201" s="57"/>
      <c r="BJ201" s="57"/>
      <c r="BK201" s="57"/>
      <c r="BL201" s="57"/>
      <c r="BM201" s="57"/>
      <c r="BN201" s="57"/>
      <c r="BO201" s="57"/>
      <c r="BP201" s="57"/>
      <c r="BQ201" s="57"/>
      <c r="BR201" s="57"/>
    </row>
    <row r="202" spans="1:70" x14ac:dyDescent="0.25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  <c r="AT202" s="57"/>
      <c r="AU202" s="57"/>
      <c r="AV202" s="57"/>
      <c r="AW202" s="57"/>
      <c r="AX202" s="57"/>
      <c r="AY202" s="57"/>
      <c r="AZ202" s="57"/>
      <c r="BA202" s="57"/>
      <c r="BB202" s="57"/>
      <c r="BC202" s="57"/>
      <c r="BD202" s="57"/>
      <c r="BE202" s="57"/>
      <c r="BF202" s="57"/>
      <c r="BG202" s="57"/>
      <c r="BH202" s="57"/>
      <c r="BI202" s="57"/>
      <c r="BJ202" s="57"/>
      <c r="BK202" s="57"/>
      <c r="BL202" s="57"/>
      <c r="BM202" s="57"/>
      <c r="BN202" s="57"/>
      <c r="BO202" s="57"/>
      <c r="BP202" s="57"/>
      <c r="BQ202" s="57"/>
      <c r="BR202" s="57"/>
    </row>
    <row r="203" spans="1:70" x14ac:dyDescent="0.25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  <c r="AT203" s="57"/>
      <c r="AU203" s="57"/>
      <c r="AV203" s="57"/>
      <c r="AW203" s="57"/>
      <c r="AX203" s="57"/>
      <c r="AY203" s="57"/>
      <c r="AZ203" s="57"/>
      <c r="BA203" s="57"/>
      <c r="BB203" s="57"/>
      <c r="BC203" s="57"/>
      <c r="BD203" s="57"/>
      <c r="BE203" s="57"/>
      <c r="BF203" s="57"/>
      <c r="BG203" s="57"/>
      <c r="BH203" s="57"/>
      <c r="BI203" s="57"/>
      <c r="BJ203" s="57"/>
      <c r="BK203" s="57"/>
      <c r="BL203" s="57"/>
      <c r="BM203" s="57"/>
      <c r="BN203" s="57"/>
      <c r="BO203" s="57"/>
      <c r="BP203" s="57"/>
      <c r="BQ203" s="57"/>
      <c r="BR203" s="57"/>
    </row>
    <row r="204" spans="1:70" x14ac:dyDescent="0.25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  <c r="AT204" s="57"/>
      <c r="AU204" s="57"/>
      <c r="AV204" s="57"/>
      <c r="AW204" s="57"/>
      <c r="AX204" s="57"/>
      <c r="AY204" s="57"/>
      <c r="AZ204" s="57"/>
      <c r="BA204" s="57"/>
      <c r="BB204" s="57"/>
      <c r="BC204" s="57"/>
      <c r="BD204" s="57"/>
      <c r="BE204" s="57"/>
      <c r="BF204" s="57"/>
      <c r="BG204" s="57"/>
      <c r="BH204" s="57"/>
      <c r="BI204" s="57"/>
      <c r="BJ204" s="57"/>
      <c r="BK204" s="57"/>
      <c r="BL204" s="57"/>
      <c r="BM204" s="57"/>
      <c r="BN204" s="57"/>
      <c r="BO204" s="57"/>
      <c r="BP204" s="57"/>
      <c r="BQ204" s="57"/>
      <c r="BR204" s="57"/>
    </row>
    <row r="205" spans="1:70" x14ac:dyDescent="0.25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  <c r="AT205" s="57"/>
      <c r="AU205" s="57"/>
      <c r="AV205" s="57"/>
      <c r="AW205" s="57"/>
      <c r="AX205" s="57"/>
      <c r="AY205" s="57"/>
      <c r="AZ205" s="57"/>
      <c r="BA205" s="57"/>
      <c r="BB205" s="57"/>
      <c r="BC205" s="57"/>
      <c r="BD205" s="57"/>
      <c r="BE205" s="57"/>
      <c r="BF205" s="57"/>
      <c r="BG205" s="57"/>
      <c r="BH205" s="57"/>
      <c r="BI205" s="57"/>
      <c r="BJ205" s="57"/>
      <c r="BK205" s="57"/>
      <c r="BL205" s="57"/>
      <c r="BM205" s="57"/>
      <c r="BN205" s="57"/>
      <c r="BO205" s="57"/>
      <c r="BP205" s="57"/>
      <c r="BQ205" s="57"/>
      <c r="BR205" s="57"/>
    </row>
    <row r="206" spans="1:70" x14ac:dyDescent="0.25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  <c r="AT206" s="57"/>
      <c r="AU206" s="57"/>
      <c r="AV206" s="57"/>
      <c r="AW206" s="57"/>
      <c r="AX206" s="57"/>
      <c r="AY206" s="57"/>
      <c r="AZ206" s="57"/>
      <c r="BA206" s="57"/>
      <c r="BB206" s="57"/>
      <c r="BC206" s="57"/>
      <c r="BD206" s="57"/>
      <c r="BE206" s="57"/>
      <c r="BF206" s="57"/>
      <c r="BG206" s="57"/>
      <c r="BH206" s="57"/>
      <c r="BI206" s="57"/>
      <c r="BJ206" s="57"/>
      <c r="BK206" s="57"/>
      <c r="BL206" s="57"/>
      <c r="BM206" s="57"/>
      <c r="BN206" s="57"/>
      <c r="BO206" s="57"/>
      <c r="BP206" s="57"/>
      <c r="BQ206" s="57"/>
      <c r="BR206" s="57"/>
    </row>
    <row r="207" spans="1:70" x14ac:dyDescent="0.25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  <c r="AT207" s="57"/>
      <c r="AU207" s="57"/>
      <c r="AV207" s="57"/>
      <c r="AW207" s="57"/>
      <c r="AX207" s="57"/>
      <c r="AY207" s="57"/>
      <c r="AZ207" s="57"/>
      <c r="BA207" s="57"/>
      <c r="BB207" s="57"/>
      <c r="BC207" s="57"/>
      <c r="BD207" s="57"/>
      <c r="BE207" s="57"/>
      <c r="BF207" s="57"/>
      <c r="BG207" s="57"/>
      <c r="BH207" s="57"/>
      <c r="BI207" s="57"/>
      <c r="BJ207" s="57"/>
      <c r="BK207" s="57"/>
      <c r="BL207" s="57"/>
      <c r="BM207" s="57"/>
      <c r="BN207" s="57"/>
      <c r="BO207" s="57"/>
      <c r="BP207" s="57"/>
      <c r="BQ207" s="57"/>
      <c r="BR207" s="57"/>
    </row>
    <row r="208" spans="1:70" x14ac:dyDescent="0.25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  <c r="AT208" s="57"/>
      <c r="AU208" s="57"/>
      <c r="AV208" s="57"/>
      <c r="AW208" s="57"/>
      <c r="AX208" s="57"/>
      <c r="AY208" s="57"/>
      <c r="AZ208" s="57"/>
      <c r="BA208" s="57"/>
      <c r="BB208" s="57"/>
      <c r="BC208" s="57"/>
      <c r="BD208" s="57"/>
      <c r="BE208" s="57"/>
      <c r="BF208" s="57"/>
      <c r="BG208" s="57"/>
      <c r="BH208" s="57"/>
      <c r="BI208" s="57"/>
      <c r="BJ208" s="57"/>
      <c r="BK208" s="57"/>
      <c r="BL208" s="57"/>
      <c r="BM208" s="57"/>
      <c r="BN208" s="57"/>
      <c r="BO208" s="57"/>
      <c r="BP208" s="57"/>
      <c r="BQ208" s="57"/>
      <c r="BR208" s="57"/>
    </row>
    <row r="209" spans="1:70" x14ac:dyDescent="0.25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  <c r="AT209" s="57"/>
      <c r="AU209" s="57"/>
      <c r="AV209" s="57"/>
      <c r="AW209" s="57"/>
      <c r="AX209" s="57"/>
      <c r="AY209" s="57"/>
      <c r="AZ209" s="57"/>
      <c r="BA209" s="57"/>
      <c r="BB209" s="57"/>
      <c r="BC209" s="57"/>
      <c r="BD209" s="57"/>
      <c r="BE209" s="57"/>
      <c r="BF209" s="57"/>
      <c r="BG209" s="57"/>
      <c r="BH209" s="57"/>
      <c r="BI209" s="57"/>
      <c r="BJ209" s="57"/>
      <c r="BK209" s="57"/>
      <c r="BL209" s="57"/>
      <c r="BM209" s="57"/>
      <c r="BN209" s="57"/>
      <c r="BO209" s="57"/>
      <c r="BP209" s="57"/>
      <c r="BQ209" s="57"/>
      <c r="BR209" s="57"/>
    </row>
    <row r="210" spans="1:70" x14ac:dyDescent="0.25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  <c r="AT210" s="57"/>
      <c r="AU210" s="57"/>
      <c r="AV210" s="57"/>
      <c r="AW210" s="57"/>
      <c r="AX210" s="57"/>
      <c r="AY210" s="57"/>
      <c r="AZ210" s="57"/>
      <c r="BA210" s="57"/>
      <c r="BB210" s="57"/>
      <c r="BC210" s="57"/>
      <c r="BD210" s="57"/>
      <c r="BE210" s="57"/>
      <c r="BF210" s="57"/>
      <c r="BG210" s="57"/>
      <c r="BH210" s="57"/>
      <c r="BI210" s="57"/>
      <c r="BJ210" s="57"/>
      <c r="BK210" s="57"/>
      <c r="BL210" s="57"/>
      <c r="BM210" s="57"/>
      <c r="BN210" s="57"/>
      <c r="BO210" s="57"/>
      <c r="BP210" s="57"/>
      <c r="BQ210" s="57"/>
      <c r="BR210" s="57"/>
    </row>
    <row r="211" spans="1:70" x14ac:dyDescent="0.25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  <c r="AT211" s="57"/>
      <c r="AU211" s="57"/>
      <c r="AV211" s="57"/>
      <c r="AW211" s="57"/>
      <c r="AX211" s="57"/>
      <c r="AY211" s="57"/>
      <c r="AZ211" s="57"/>
      <c r="BA211" s="57"/>
      <c r="BB211" s="57"/>
      <c r="BC211" s="57"/>
      <c r="BD211" s="57"/>
      <c r="BE211" s="57"/>
      <c r="BF211" s="57"/>
      <c r="BG211" s="57"/>
      <c r="BH211" s="57"/>
      <c r="BI211" s="57"/>
      <c r="BJ211" s="57"/>
      <c r="BK211" s="57"/>
      <c r="BL211" s="57"/>
      <c r="BM211" s="57"/>
      <c r="BN211" s="57"/>
      <c r="BO211" s="57"/>
      <c r="BP211" s="57"/>
      <c r="BQ211" s="57"/>
      <c r="BR211" s="57"/>
    </row>
    <row r="212" spans="1:70" x14ac:dyDescent="0.25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  <c r="AT212" s="57"/>
      <c r="AU212" s="57"/>
      <c r="AV212" s="57"/>
      <c r="AW212" s="57"/>
      <c r="AX212" s="57"/>
      <c r="AY212" s="57"/>
      <c r="AZ212" s="57"/>
      <c r="BA212" s="57"/>
      <c r="BB212" s="57"/>
      <c r="BC212" s="57"/>
      <c r="BD212" s="57"/>
      <c r="BE212" s="57"/>
      <c r="BF212" s="57"/>
      <c r="BG212" s="57"/>
      <c r="BH212" s="57"/>
      <c r="BI212" s="57"/>
      <c r="BJ212" s="57"/>
      <c r="BK212" s="57"/>
      <c r="BL212" s="57"/>
      <c r="BM212" s="57"/>
      <c r="BN212" s="57"/>
      <c r="BO212" s="57"/>
      <c r="BP212" s="57"/>
      <c r="BQ212" s="57"/>
      <c r="BR212" s="57"/>
    </row>
    <row r="213" spans="1:70" x14ac:dyDescent="0.25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  <c r="AT213" s="57"/>
      <c r="AU213" s="57"/>
      <c r="AV213" s="57"/>
      <c r="AW213" s="57"/>
      <c r="AX213" s="57"/>
      <c r="AY213" s="57"/>
      <c r="AZ213" s="57"/>
      <c r="BA213" s="57"/>
      <c r="BB213" s="57"/>
      <c r="BC213" s="57"/>
      <c r="BD213" s="57"/>
      <c r="BE213" s="57"/>
      <c r="BF213" s="57"/>
      <c r="BG213" s="57"/>
      <c r="BH213" s="57"/>
      <c r="BI213" s="57"/>
      <c r="BJ213" s="57"/>
      <c r="BK213" s="57"/>
      <c r="BL213" s="57"/>
      <c r="BM213" s="57"/>
      <c r="BN213" s="57"/>
      <c r="BO213" s="57"/>
      <c r="BP213" s="57"/>
      <c r="BQ213" s="57"/>
      <c r="BR213" s="57"/>
    </row>
    <row r="214" spans="1:70" x14ac:dyDescent="0.25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  <c r="AT214" s="57"/>
      <c r="AU214" s="57"/>
      <c r="AV214" s="57"/>
      <c r="AW214" s="57"/>
      <c r="AX214" s="57"/>
      <c r="AY214" s="57"/>
      <c r="AZ214" s="57"/>
      <c r="BA214" s="57"/>
      <c r="BB214" s="57"/>
      <c r="BC214" s="57"/>
      <c r="BD214" s="57"/>
      <c r="BE214" s="57"/>
      <c r="BF214" s="57"/>
      <c r="BG214" s="57"/>
      <c r="BH214" s="57"/>
      <c r="BI214" s="57"/>
      <c r="BJ214" s="57"/>
      <c r="BK214" s="57"/>
      <c r="BL214" s="57"/>
      <c r="BM214" s="57"/>
      <c r="BN214" s="57"/>
      <c r="BO214" s="57"/>
      <c r="BP214" s="57"/>
      <c r="BQ214" s="57"/>
      <c r="BR214" s="57"/>
    </row>
    <row r="215" spans="1:70" x14ac:dyDescent="0.25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  <c r="AT215" s="57"/>
      <c r="AU215" s="57"/>
      <c r="AV215" s="57"/>
      <c r="AW215" s="57"/>
      <c r="AX215" s="57"/>
      <c r="AY215" s="57"/>
      <c r="AZ215" s="57"/>
      <c r="BA215" s="57"/>
      <c r="BB215" s="57"/>
      <c r="BC215" s="57"/>
      <c r="BD215" s="57"/>
      <c r="BE215" s="57"/>
      <c r="BF215" s="57"/>
      <c r="BG215" s="57"/>
      <c r="BH215" s="57"/>
      <c r="BI215" s="57"/>
      <c r="BJ215" s="57"/>
      <c r="BK215" s="57"/>
      <c r="BL215" s="57"/>
      <c r="BM215" s="57"/>
      <c r="BN215" s="57"/>
      <c r="BO215" s="57"/>
      <c r="BP215" s="57"/>
      <c r="BQ215" s="57"/>
      <c r="BR215" s="57"/>
    </row>
    <row r="216" spans="1:70" x14ac:dyDescent="0.25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  <c r="AT216" s="57"/>
      <c r="AU216" s="57"/>
      <c r="AV216" s="57"/>
      <c r="AW216" s="57"/>
      <c r="AX216" s="57"/>
      <c r="AY216" s="57"/>
      <c r="AZ216" s="57"/>
      <c r="BA216" s="57"/>
      <c r="BB216" s="57"/>
      <c r="BC216" s="57"/>
      <c r="BD216" s="57"/>
      <c r="BE216" s="57"/>
      <c r="BF216" s="57"/>
      <c r="BG216" s="57"/>
      <c r="BH216" s="57"/>
      <c r="BI216" s="57"/>
      <c r="BJ216" s="57"/>
      <c r="BK216" s="57"/>
      <c r="BL216" s="57"/>
      <c r="BM216" s="57"/>
      <c r="BN216" s="57"/>
      <c r="BO216" s="57"/>
      <c r="BP216" s="57"/>
      <c r="BQ216" s="57"/>
      <c r="BR216" s="57"/>
    </row>
    <row r="217" spans="1:70" x14ac:dyDescent="0.25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  <c r="AT217" s="57"/>
      <c r="AU217" s="57"/>
      <c r="AV217" s="57"/>
      <c r="AW217" s="57"/>
      <c r="AX217" s="57"/>
      <c r="AY217" s="57"/>
      <c r="AZ217" s="57"/>
      <c r="BA217" s="57"/>
      <c r="BB217" s="57"/>
      <c r="BC217" s="57"/>
      <c r="BD217" s="57"/>
      <c r="BE217" s="57"/>
      <c r="BF217" s="57"/>
      <c r="BG217" s="57"/>
      <c r="BH217" s="57"/>
      <c r="BI217" s="57"/>
      <c r="BJ217" s="57"/>
      <c r="BK217" s="57"/>
      <c r="BL217" s="57"/>
      <c r="BM217" s="57"/>
      <c r="BN217" s="57"/>
      <c r="BO217" s="57"/>
      <c r="BP217" s="57"/>
      <c r="BQ217" s="57"/>
      <c r="BR217" s="57"/>
    </row>
    <row r="218" spans="1:70" x14ac:dyDescent="0.25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  <c r="AT218" s="57"/>
      <c r="AU218" s="57"/>
      <c r="AV218" s="57"/>
      <c r="AW218" s="57"/>
      <c r="AX218" s="57"/>
      <c r="AY218" s="57"/>
      <c r="AZ218" s="57"/>
      <c r="BA218" s="57"/>
      <c r="BB218" s="57"/>
      <c r="BC218" s="57"/>
      <c r="BD218" s="57"/>
      <c r="BE218" s="57"/>
      <c r="BF218" s="57"/>
      <c r="BG218" s="57"/>
      <c r="BH218" s="57"/>
      <c r="BI218" s="57"/>
      <c r="BJ218" s="57"/>
      <c r="BK218" s="57"/>
      <c r="BL218" s="57"/>
      <c r="BM218" s="57"/>
      <c r="BN218" s="57"/>
      <c r="BO218" s="57"/>
      <c r="BP218" s="57"/>
      <c r="BQ218" s="57"/>
      <c r="BR218" s="57"/>
    </row>
    <row r="219" spans="1:70" x14ac:dyDescent="0.25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  <c r="AT219" s="57"/>
      <c r="AU219" s="57"/>
      <c r="AV219" s="57"/>
      <c r="AW219" s="57"/>
      <c r="AX219" s="57"/>
      <c r="AY219" s="57"/>
      <c r="AZ219" s="57"/>
      <c r="BA219" s="57"/>
      <c r="BB219" s="57"/>
      <c r="BC219" s="57"/>
      <c r="BD219" s="57"/>
      <c r="BE219" s="57"/>
      <c r="BF219" s="57"/>
      <c r="BG219" s="57"/>
      <c r="BH219" s="57"/>
      <c r="BI219" s="57"/>
      <c r="BJ219" s="57"/>
      <c r="BK219" s="57"/>
      <c r="BL219" s="57"/>
      <c r="BM219" s="57"/>
      <c r="BN219" s="57"/>
      <c r="BO219" s="57"/>
      <c r="BP219" s="57"/>
      <c r="BQ219" s="57"/>
      <c r="BR219" s="57"/>
    </row>
    <row r="220" spans="1:70" x14ac:dyDescent="0.25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  <c r="AT220" s="57"/>
      <c r="AU220" s="57"/>
      <c r="AV220" s="57"/>
      <c r="AW220" s="57"/>
      <c r="AX220" s="57"/>
      <c r="AY220" s="57"/>
      <c r="AZ220" s="57"/>
      <c r="BA220" s="57"/>
      <c r="BB220" s="57"/>
      <c r="BC220" s="57"/>
      <c r="BD220" s="57"/>
      <c r="BE220" s="57"/>
      <c r="BF220" s="57"/>
      <c r="BG220" s="57"/>
      <c r="BH220" s="57"/>
      <c r="BI220" s="57"/>
      <c r="BJ220" s="57"/>
      <c r="BK220" s="57"/>
      <c r="BL220" s="57"/>
      <c r="BM220" s="57"/>
      <c r="BN220" s="57"/>
      <c r="BO220" s="57"/>
      <c r="BP220" s="57"/>
      <c r="BQ220" s="57"/>
      <c r="BR220" s="57"/>
    </row>
    <row r="221" spans="1:70" x14ac:dyDescent="0.25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  <c r="AT221" s="57"/>
      <c r="AU221" s="57"/>
      <c r="AV221" s="57"/>
      <c r="AW221" s="57"/>
      <c r="AX221" s="57"/>
      <c r="AY221" s="57"/>
      <c r="AZ221" s="57"/>
      <c r="BA221" s="57"/>
      <c r="BB221" s="57"/>
      <c r="BC221" s="57"/>
      <c r="BD221" s="57"/>
      <c r="BE221" s="57"/>
      <c r="BF221" s="57"/>
      <c r="BG221" s="57"/>
      <c r="BH221" s="57"/>
      <c r="BI221" s="57"/>
      <c r="BJ221" s="57"/>
      <c r="BK221" s="57"/>
      <c r="BL221" s="57"/>
      <c r="BM221" s="57"/>
      <c r="BN221" s="57"/>
      <c r="BO221" s="57"/>
      <c r="BP221" s="57"/>
      <c r="BQ221" s="57"/>
      <c r="BR221" s="57"/>
    </row>
    <row r="222" spans="1:70" x14ac:dyDescent="0.25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  <c r="AT222" s="57"/>
      <c r="AU222" s="57"/>
      <c r="AV222" s="57"/>
      <c r="AW222" s="57"/>
      <c r="AX222" s="57"/>
      <c r="AY222" s="57"/>
      <c r="AZ222" s="57"/>
      <c r="BA222" s="57"/>
      <c r="BB222" s="57"/>
      <c r="BC222" s="57"/>
      <c r="BD222" s="57"/>
      <c r="BE222" s="57"/>
      <c r="BF222" s="57"/>
      <c r="BG222" s="57"/>
      <c r="BH222" s="57"/>
      <c r="BI222" s="57"/>
      <c r="BJ222" s="57"/>
      <c r="BK222" s="57"/>
      <c r="BL222" s="57"/>
      <c r="BM222" s="57"/>
      <c r="BN222" s="57"/>
      <c r="BO222" s="57"/>
      <c r="BP222" s="57"/>
      <c r="BQ222" s="57"/>
      <c r="BR222" s="57"/>
    </row>
    <row r="223" spans="1:70" x14ac:dyDescent="0.25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  <c r="AT223" s="57"/>
      <c r="AU223" s="57"/>
      <c r="AV223" s="57"/>
      <c r="AW223" s="57"/>
      <c r="AX223" s="57"/>
      <c r="AY223" s="57"/>
      <c r="AZ223" s="57"/>
      <c r="BA223" s="57"/>
      <c r="BB223" s="57"/>
      <c r="BC223" s="57"/>
      <c r="BD223" s="57"/>
      <c r="BE223" s="57"/>
      <c r="BF223" s="57"/>
      <c r="BG223" s="57"/>
      <c r="BH223" s="57"/>
      <c r="BI223" s="57"/>
      <c r="BJ223" s="57"/>
      <c r="BK223" s="57"/>
      <c r="BL223" s="57"/>
      <c r="BM223" s="57"/>
      <c r="BN223" s="57"/>
      <c r="BO223" s="57"/>
      <c r="BP223" s="57"/>
      <c r="BQ223" s="57"/>
      <c r="BR223" s="57"/>
    </row>
    <row r="224" spans="1:70" x14ac:dyDescent="0.25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  <c r="AT224" s="57"/>
      <c r="AU224" s="57"/>
      <c r="AV224" s="57"/>
      <c r="AW224" s="57"/>
      <c r="AX224" s="57"/>
      <c r="AY224" s="57"/>
      <c r="AZ224" s="57"/>
      <c r="BA224" s="57"/>
      <c r="BB224" s="57"/>
      <c r="BC224" s="57"/>
      <c r="BD224" s="57"/>
      <c r="BE224" s="57"/>
      <c r="BF224" s="57"/>
      <c r="BG224" s="57"/>
      <c r="BH224" s="57"/>
      <c r="BI224" s="57"/>
      <c r="BJ224" s="57"/>
      <c r="BK224" s="57"/>
      <c r="BL224" s="57"/>
      <c r="BM224" s="57"/>
      <c r="BN224" s="57"/>
      <c r="BO224" s="57"/>
      <c r="BP224" s="57"/>
      <c r="BQ224" s="57"/>
      <c r="BR224" s="57"/>
    </row>
    <row r="225" spans="1:70" x14ac:dyDescent="0.25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  <c r="AT225" s="57"/>
      <c r="AU225" s="57"/>
      <c r="AV225" s="57"/>
      <c r="AW225" s="57"/>
      <c r="AX225" s="57"/>
      <c r="AY225" s="57"/>
      <c r="AZ225" s="57"/>
      <c r="BA225" s="57"/>
      <c r="BB225" s="57"/>
      <c r="BC225" s="57"/>
      <c r="BD225" s="57"/>
      <c r="BE225" s="57"/>
      <c r="BF225" s="57"/>
      <c r="BG225" s="57"/>
      <c r="BH225" s="57"/>
      <c r="BI225" s="57"/>
      <c r="BJ225" s="57"/>
      <c r="BK225" s="57"/>
      <c r="BL225" s="57"/>
      <c r="BM225" s="57"/>
      <c r="BN225" s="57"/>
      <c r="BO225" s="57"/>
      <c r="BP225" s="57"/>
      <c r="BQ225" s="57"/>
      <c r="BR225" s="57"/>
    </row>
    <row r="226" spans="1:70" x14ac:dyDescent="0.25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  <c r="AT226" s="57"/>
      <c r="AU226" s="57"/>
      <c r="AV226" s="57"/>
      <c r="AW226" s="57"/>
      <c r="AX226" s="57"/>
      <c r="AY226" s="57"/>
      <c r="AZ226" s="57"/>
      <c r="BA226" s="57"/>
      <c r="BB226" s="57"/>
      <c r="BC226" s="57"/>
      <c r="BD226" s="57"/>
      <c r="BE226" s="57"/>
      <c r="BF226" s="57"/>
      <c r="BG226" s="57"/>
      <c r="BH226" s="57"/>
      <c r="BI226" s="57"/>
      <c r="BJ226" s="57"/>
      <c r="BK226" s="57"/>
      <c r="BL226" s="57"/>
      <c r="BM226" s="57"/>
      <c r="BN226" s="57"/>
      <c r="BO226" s="57"/>
      <c r="BP226" s="57"/>
      <c r="BQ226" s="57"/>
      <c r="BR226" s="57"/>
    </row>
    <row r="227" spans="1:70" x14ac:dyDescent="0.25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7"/>
      <c r="AT227" s="57"/>
      <c r="AU227" s="57"/>
      <c r="AV227" s="57"/>
      <c r="AW227" s="57"/>
      <c r="AX227" s="57"/>
      <c r="AY227" s="57"/>
      <c r="AZ227" s="57"/>
      <c r="BA227" s="57"/>
      <c r="BB227" s="57"/>
      <c r="BC227" s="57"/>
      <c r="BD227" s="57"/>
      <c r="BE227" s="57"/>
      <c r="BF227" s="57"/>
      <c r="BG227" s="57"/>
      <c r="BH227" s="57"/>
      <c r="BI227" s="57"/>
      <c r="BJ227" s="57"/>
      <c r="BK227" s="57"/>
      <c r="BL227" s="57"/>
      <c r="BM227" s="57"/>
      <c r="BN227" s="57"/>
      <c r="BO227" s="57"/>
      <c r="BP227" s="57"/>
      <c r="BQ227" s="57"/>
      <c r="BR227" s="57"/>
    </row>
    <row r="228" spans="1:70" x14ac:dyDescent="0.25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7"/>
      <c r="AT228" s="57"/>
      <c r="AU228" s="57"/>
      <c r="AV228" s="57"/>
      <c r="AW228" s="57"/>
      <c r="AX228" s="57"/>
      <c r="AY228" s="57"/>
      <c r="AZ228" s="57"/>
      <c r="BA228" s="57"/>
      <c r="BB228" s="57"/>
      <c r="BC228" s="57"/>
      <c r="BD228" s="57"/>
      <c r="BE228" s="57"/>
      <c r="BF228" s="57"/>
      <c r="BG228" s="57"/>
      <c r="BH228" s="57"/>
      <c r="BI228" s="57"/>
      <c r="BJ228" s="57"/>
      <c r="BK228" s="57"/>
      <c r="BL228" s="57"/>
      <c r="BM228" s="57"/>
      <c r="BN228" s="57"/>
      <c r="BO228" s="57"/>
      <c r="BP228" s="57"/>
      <c r="BQ228" s="57"/>
      <c r="BR228" s="57"/>
    </row>
    <row r="229" spans="1:70" x14ac:dyDescent="0.25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7"/>
      <c r="AT229" s="57"/>
      <c r="AU229" s="57"/>
      <c r="AV229" s="57"/>
      <c r="AW229" s="57"/>
      <c r="AX229" s="57"/>
      <c r="AY229" s="57"/>
      <c r="AZ229" s="57"/>
      <c r="BA229" s="57"/>
      <c r="BB229" s="57"/>
      <c r="BC229" s="57"/>
      <c r="BD229" s="57"/>
      <c r="BE229" s="57"/>
      <c r="BF229" s="57"/>
      <c r="BG229" s="57"/>
      <c r="BH229" s="57"/>
      <c r="BI229" s="57"/>
      <c r="BJ229" s="57"/>
      <c r="BK229" s="57"/>
      <c r="BL229" s="57"/>
      <c r="BM229" s="57"/>
      <c r="BN229" s="57"/>
      <c r="BO229" s="57"/>
      <c r="BP229" s="57"/>
      <c r="BQ229" s="57"/>
      <c r="BR229" s="57"/>
    </row>
    <row r="230" spans="1:70" x14ac:dyDescent="0.25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7"/>
      <c r="AT230" s="57"/>
      <c r="AU230" s="57"/>
      <c r="AV230" s="57"/>
      <c r="AW230" s="57"/>
      <c r="AX230" s="57"/>
      <c r="AY230" s="57"/>
      <c r="AZ230" s="57"/>
      <c r="BA230" s="57"/>
      <c r="BB230" s="57"/>
      <c r="BC230" s="57"/>
      <c r="BD230" s="57"/>
      <c r="BE230" s="57"/>
      <c r="BF230" s="57"/>
      <c r="BG230" s="57"/>
      <c r="BH230" s="57"/>
      <c r="BI230" s="57"/>
      <c r="BJ230" s="57"/>
      <c r="BK230" s="57"/>
      <c r="BL230" s="57"/>
      <c r="BM230" s="57"/>
      <c r="BN230" s="57"/>
      <c r="BO230" s="57"/>
      <c r="BP230" s="57"/>
      <c r="BQ230" s="57"/>
      <c r="BR230" s="57"/>
    </row>
    <row r="231" spans="1:70" x14ac:dyDescent="0.25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7"/>
      <c r="AT231" s="57"/>
      <c r="AU231" s="57"/>
      <c r="AV231" s="57"/>
      <c r="AW231" s="57"/>
      <c r="AX231" s="57"/>
      <c r="AY231" s="57"/>
      <c r="AZ231" s="57"/>
      <c r="BA231" s="57"/>
      <c r="BB231" s="57"/>
      <c r="BC231" s="57"/>
      <c r="BD231" s="57"/>
      <c r="BE231" s="57"/>
      <c r="BF231" s="57"/>
      <c r="BG231" s="57"/>
      <c r="BH231" s="57"/>
      <c r="BI231" s="57"/>
      <c r="BJ231" s="57"/>
      <c r="BK231" s="57"/>
      <c r="BL231" s="57"/>
      <c r="BM231" s="57"/>
      <c r="BN231" s="57"/>
      <c r="BO231" s="57"/>
      <c r="BP231" s="57"/>
      <c r="BQ231" s="57"/>
      <c r="BR231" s="57"/>
    </row>
    <row r="232" spans="1:70" x14ac:dyDescent="0.25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7"/>
      <c r="AT232" s="57"/>
      <c r="AU232" s="57"/>
      <c r="AV232" s="57"/>
      <c r="AW232" s="57"/>
      <c r="AX232" s="57"/>
      <c r="AY232" s="57"/>
      <c r="AZ232" s="57"/>
      <c r="BA232" s="57"/>
      <c r="BB232" s="57"/>
      <c r="BC232" s="57"/>
      <c r="BD232" s="57"/>
      <c r="BE232" s="57"/>
      <c r="BF232" s="57"/>
      <c r="BG232" s="57"/>
      <c r="BH232" s="57"/>
      <c r="BI232" s="57"/>
      <c r="BJ232" s="57"/>
      <c r="BK232" s="57"/>
      <c r="BL232" s="57"/>
      <c r="BM232" s="57"/>
      <c r="BN232" s="57"/>
      <c r="BO232" s="57"/>
      <c r="BP232" s="57"/>
      <c r="BQ232" s="57"/>
      <c r="BR232" s="57"/>
    </row>
    <row r="233" spans="1:70" x14ac:dyDescent="0.25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7"/>
      <c r="AT233" s="57"/>
      <c r="AU233" s="57"/>
      <c r="AV233" s="57"/>
      <c r="AW233" s="57"/>
      <c r="AX233" s="57"/>
      <c r="AY233" s="57"/>
      <c r="AZ233" s="57"/>
      <c r="BA233" s="57"/>
      <c r="BB233" s="57"/>
      <c r="BC233" s="57"/>
      <c r="BD233" s="57"/>
      <c r="BE233" s="57"/>
      <c r="BF233" s="57"/>
      <c r="BG233" s="57"/>
      <c r="BH233" s="57"/>
      <c r="BI233" s="57"/>
      <c r="BJ233" s="57"/>
      <c r="BK233" s="57"/>
      <c r="BL233" s="57"/>
      <c r="BM233" s="57"/>
      <c r="BN233" s="57"/>
      <c r="BO233" s="57"/>
      <c r="BP233" s="57"/>
      <c r="BQ233" s="57"/>
      <c r="BR233" s="57"/>
    </row>
    <row r="234" spans="1:70" x14ac:dyDescent="0.25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7"/>
      <c r="AT234" s="57"/>
      <c r="AU234" s="57"/>
      <c r="AV234" s="57"/>
      <c r="AW234" s="57"/>
      <c r="AX234" s="57"/>
      <c r="AY234" s="57"/>
      <c r="AZ234" s="57"/>
      <c r="BA234" s="57"/>
      <c r="BB234" s="57"/>
      <c r="BC234" s="57"/>
      <c r="BD234" s="57"/>
      <c r="BE234" s="57"/>
      <c r="BF234" s="57"/>
      <c r="BG234" s="57"/>
      <c r="BH234" s="57"/>
      <c r="BI234" s="57"/>
      <c r="BJ234" s="57"/>
      <c r="BK234" s="57"/>
      <c r="BL234" s="57"/>
      <c r="BM234" s="57"/>
      <c r="BN234" s="57"/>
      <c r="BO234" s="57"/>
      <c r="BP234" s="57"/>
      <c r="BQ234" s="57"/>
      <c r="BR234" s="57"/>
    </row>
    <row r="235" spans="1:70" x14ac:dyDescent="0.25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7"/>
      <c r="AT235" s="57"/>
      <c r="AU235" s="57"/>
      <c r="AV235" s="57"/>
      <c r="AW235" s="57"/>
      <c r="AX235" s="57"/>
      <c r="AY235" s="57"/>
      <c r="AZ235" s="57"/>
      <c r="BA235" s="57"/>
      <c r="BB235" s="57"/>
      <c r="BC235" s="57"/>
      <c r="BD235" s="57"/>
      <c r="BE235" s="57"/>
      <c r="BF235" s="57"/>
      <c r="BG235" s="57"/>
      <c r="BH235" s="57"/>
      <c r="BI235" s="57"/>
      <c r="BJ235" s="57"/>
      <c r="BK235" s="57"/>
      <c r="BL235" s="57"/>
      <c r="BM235" s="57"/>
      <c r="BN235" s="57"/>
      <c r="BO235" s="57"/>
      <c r="BP235" s="57"/>
      <c r="BQ235" s="57"/>
      <c r="BR235" s="57"/>
    </row>
    <row r="236" spans="1:70" x14ac:dyDescent="0.25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7"/>
      <c r="AT236" s="57"/>
      <c r="AU236" s="57"/>
      <c r="AV236" s="57"/>
      <c r="AW236" s="57"/>
      <c r="AX236" s="57"/>
      <c r="AY236" s="57"/>
      <c r="AZ236" s="57"/>
      <c r="BA236" s="57"/>
      <c r="BB236" s="57"/>
      <c r="BC236" s="57"/>
      <c r="BD236" s="57"/>
      <c r="BE236" s="57"/>
      <c r="BF236" s="57"/>
      <c r="BG236" s="57"/>
      <c r="BH236" s="57"/>
      <c r="BI236" s="57"/>
      <c r="BJ236" s="57"/>
      <c r="BK236" s="57"/>
      <c r="BL236" s="57"/>
      <c r="BM236" s="57"/>
      <c r="BN236" s="57"/>
      <c r="BO236" s="57"/>
      <c r="BP236" s="57"/>
      <c r="BQ236" s="57"/>
      <c r="BR236" s="57"/>
    </row>
    <row r="237" spans="1:70" x14ac:dyDescent="0.25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7"/>
      <c r="AT237" s="57"/>
      <c r="AU237" s="57"/>
      <c r="AV237" s="57"/>
      <c r="AW237" s="57"/>
      <c r="AX237" s="57"/>
      <c r="AY237" s="57"/>
      <c r="AZ237" s="57"/>
      <c r="BA237" s="57"/>
      <c r="BB237" s="57"/>
      <c r="BC237" s="57"/>
      <c r="BD237" s="57"/>
      <c r="BE237" s="57"/>
      <c r="BF237" s="57"/>
      <c r="BG237" s="57"/>
      <c r="BH237" s="57"/>
      <c r="BI237" s="57"/>
      <c r="BJ237" s="57"/>
      <c r="BK237" s="57"/>
      <c r="BL237" s="57"/>
      <c r="BM237" s="57"/>
      <c r="BN237" s="57"/>
      <c r="BO237" s="57"/>
      <c r="BP237" s="57"/>
      <c r="BQ237" s="57"/>
      <c r="BR237" s="57"/>
    </row>
    <row r="238" spans="1:70" x14ac:dyDescent="0.25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7"/>
      <c r="AT238" s="57"/>
      <c r="AU238" s="57"/>
      <c r="AV238" s="57"/>
      <c r="AW238" s="57"/>
      <c r="AX238" s="57"/>
      <c r="AY238" s="57"/>
      <c r="AZ238" s="57"/>
      <c r="BA238" s="57"/>
      <c r="BB238" s="57"/>
      <c r="BC238" s="57"/>
      <c r="BD238" s="57"/>
      <c r="BE238" s="57"/>
      <c r="BF238" s="57"/>
      <c r="BG238" s="57"/>
      <c r="BH238" s="57"/>
      <c r="BI238" s="57"/>
      <c r="BJ238" s="57"/>
      <c r="BK238" s="57"/>
      <c r="BL238" s="57"/>
      <c r="BM238" s="57"/>
      <c r="BN238" s="57"/>
      <c r="BO238" s="57"/>
      <c r="BP238" s="57"/>
      <c r="BQ238" s="57"/>
      <c r="BR238" s="57"/>
    </row>
    <row r="239" spans="1:70" x14ac:dyDescent="0.25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7"/>
      <c r="AT239" s="57"/>
      <c r="AU239" s="57"/>
      <c r="AV239" s="57"/>
      <c r="AW239" s="57"/>
      <c r="AX239" s="57"/>
      <c r="AY239" s="57"/>
      <c r="AZ239" s="57"/>
      <c r="BA239" s="57"/>
      <c r="BB239" s="57"/>
      <c r="BC239" s="57"/>
      <c r="BD239" s="57"/>
      <c r="BE239" s="57"/>
      <c r="BF239" s="57"/>
      <c r="BG239" s="57"/>
      <c r="BH239" s="57"/>
      <c r="BI239" s="57"/>
      <c r="BJ239" s="57"/>
      <c r="BK239" s="57"/>
      <c r="BL239" s="57"/>
      <c r="BM239" s="57"/>
      <c r="BN239" s="57"/>
      <c r="BO239" s="57"/>
      <c r="BP239" s="57"/>
      <c r="BQ239" s="57"/>
      <c r="BR239" s="57"/>
    </row>
    <row r="240" spans="1:70" x14ac:dyDescent="0.25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7"/>
      <c r="AT240" s="57"/>
      <c r="AU240" s="57"/>
      <c r="AV240" s="57"/>
      <c r="AW240" s="57"/>
      <c r="AX240" s="57"/>
      <c r="AY240" s="57"/>
      <c r="AZ240" s="57"/>
      <c r="BA240" s="57"/>
      <c r="BB240" s="57"/>
      <c r="BC240" s="57"/>
      <c r="BD240" s="57"/>
      <c r="BE240" s="57"/>
      <c r="BF240" s="57"/>
      <c r="BG240" s="57"/>
      <c r="BH240" s="57"/>
      <c r="BI240" s="57"/>
      <c r="BJ240" s="57"/>
      <c r="BK240" s="57"/>
      <c r="BL240" s="57"/>
      <c r="BM240" s="57"/>
      <c r="BN240" s="57"/>
      <c r="BO240" s="57"/>
      <c r="BP240" s="57"/>
      <c r="BQ240" s="57"/>
      <c r="BR240" s="57"/>
    </row>
    <row r="241" spans="1:70" x14ac:dyDescent="0.25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7"/>
      <c r="AT241" s="57"/>
      <c r="AU241" s="57"/>
      <c r="AV241" s="57"/>
      <c r="AW241" s="57"/>
      <c r="AX241" s="57"/>
      <c r="AY241" s="57"/>
      <c r="AZ241" s="57"/>
      <c r="BA241" s="57"/>
      <c r="BB241" s="57"/>
      <c r="BC241" s="57"/>
      <c r="BD241" s="57"/>
      <c r="BE241" s="57"/>
      <c r="BF241" s="57"/>
      <c r="BG241" s="57"/>
      <c r="BH241" s="57"/>
      <c r="BI241" s="57"/>
      <c r="BJ241" s="57"/>
      <c r="BK241" s="57"/>
      <c r="BL241" s="57"/>
      <c r="BM241" s="57"/>
      <c r="BN241" s="57"/>
      <c r="BO241" s="57"/>
      <c r="BP241" s="57"/>
      <c r="BQ241" s="57"/>
      <c r="BR241" s="57"/>
    </row>
    <row r="242" spans="1:70" x14ac:dyDescent="0.25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7"/>
      <c r="AT242" s="57"/>
      <c r="AU242" s="57"/>
      <c r="AV242" s="57"/>
      <c r="AW242" s="57"/>
      <c r="AX242" s="57"/>
      <c r="AY242" s="57"/>
      <c r="AZ242" s="57"/>
      <c r="BA242" s="57"/>
      <c r="BB242" s="57"/>
      <c r="BC242" s="57"/>
      <c r="BD242" s="57"/>
      <c r="BE242" s="57"/>
      <c r="BF242" s="57"/>
      <c r="BG242" s="57"/>
      <c r="BH242" s="57"/>
      <c r="BI242" s="57"/>
      <c r="BJ242" s="57"/>
      <c r="BK242" s="57"/>
      <c r="BL242" s="57"/>
      <c r="BM242" s="57"/>
      <c r="BN242" s="57"/>
      <c r="BO242" s="57"/>
      <c r="BP242" s="57"/>
      <c r="BQ242" s="57"/>
      <c r="BR242" s="57"/>
    </row>
    <row r="243" spans="1:70" x14ac:dyDescent="0.25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7"/>
      <c r="AT243" s="57"/>
      <c r="AU243" s="57"/>
      <c r="AV243" s="57"/>
      <c r="AW243" s="57"/>
      <c r="AX243" s="57"/>
      <c r="AY243" s="57"/>
      <c r="AZ243" s="57"/>
      <c r="BA243" s="57"/>
      <c r="BB243" s="57"/>
      <c r="BC243" s="57"/>
      <c r="BD243" s="57"/>
      <c r="BE243" s="57"/>
      <c r="BF243" s="57"/>
      <c r="BG243" s="57"/>
      <c r="BH243" s="57"/>
      <c r="BI243" s="57"/>
      <c r="BJ243" s="57"/>
      <c r="BK243" s="57"/>
      <c r="BL243" s="57"/>
      <c r="BM243" s="57"/>
      <c r="BN243" s="57"/>
      <c r="BO243" s="57"/>
      <c r="BP243" s="57"/>
      <c r="BQ243" s="57"/>
      <c r="BR243" s="57"/>
    </row>
    <row r="244" spans="1:70" x14ac:dyDescent="0.25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7"/>
      <c r="AT244" s="57"/>
      <c r="AU244" s="57"/>
      <c r="AV244" s="57"/>
      <c r="AW244" s="57"/>
      <c r="AX244" s="57"/>
      <c r="AY244" s="57"/>
      <c r="AZ244" s="57"/>
      <c r="BA244" s="57"/>
      <c r="BB244" s="57"/>
      <c r="BC244" s="57"/>
      <c r="BD244" s="57"/>
      <c r="BE244" s="57"/>
      <c r="BF244" s="57"/>
      <c r="BG244" s="57"/>
      <c r="BH244" s="57"/>
      <c r="BI244" s="57"/>
      <c r="BJ244" s="57"/>
      <c r="BK244" s="57"/>
      <c r="BL244" s="57"/>
      <c r="BM244" s="57"/>
      <c r="BN244" s="57"/>
      <c r="BO244" s="57"/>
      <c r="BP244" s="57"/>
      <c r="BQ244" s="57"/>
      <c r="BR244" s="57"/>
    </row>
    <row r="245" spans="1:70" x14ac:dyDescent="0.25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7"/>
      <c r="AT245" s="57"/>
      <c r="AU245" s="57"/>
      <c r="AV245" s="57"/>
      <c r="AW245" s="57"/>
      <c r="AX245" s="57"/>
      <c r="AY245" s="57"/>
      <c r="AZ245" s="57"/>
      <c r="BA245" s="57"/>
      <c r="BB245" s="57"/>
      <c r="BC245" s="57"/>
      <c r="BD245" s="57"/>
      <c r="BE245" s="57"/>
      <c r="BF245" s="57"/>
      <c r="BG245" s="57"/>
      <c r="BH245" s="57"/>
      <c r="BI245" s="57"/>
      <c r="BJ245" s="57"/>
      <c r="BK245" s="57"/>
      <c r="BL245" s="57"/>
      <c r="BM245" s="57"/>
      <c r="BN245" s="57"/>
      <c r="BO245" s="57"/>
      <c r="BP245" s="57"/>
      <c r="BQ245" s="57"/>
      <c r="BR245" s="57"/>
    </row>
    <row r="246" spans="1:70" x14ac:dyDescent="0.25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7"/>
      <c r="AT246" s="57"/>
      <c r="AU246" s="57"/>
      <c r="AV246" s="57"/>
      <c r="AW246" s="57"/>
      <c r="AX246" s="57"/>
      <c r="AY246" s="57"/>
      <c r="AZ246" s="57"/>
      <c r="BA246" s="57"/>
      <c r="BB246" s="57"/>
      <c r="BC246" s="57"/>
      <c r="BD246" s="57"/>
      <c r="BE246" s="57"/>
      <c r="BF246" s="57"/>
      <c r="BG246" s="57"/>
      <c r="BH246" s="57"/>
      <c r="BI246" s="57"/>
      <c r="BJ246" s="57"/>
      <c r="BK246" s="57"/>
      <c r="BL246" s="57"/>
      <c r="BM246" s="57"/>
      <c r="BN246" s="57"/>
      <c r="BO246" s="57"/>
      <c r="BP246" s="57"/>
      <c r="BQ246" s="57"/>
      <c r="BR246" s="57"/>
    </row>
    <row r="247" spans="1:70" x14ac:dyDescent="0.25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7"/>
      <c r="AT247" s="57"/>
      <c r="AU247" s="57"/>
      <c r="AV247" s="57"/>
      <c r="AW247" s="57"/>
      <c r="AX247" s="57"/>
      <c r="AY247" s="57"/>
      <c r="AZ247" s="57"/>
      <c r="BA247" s="57"/>
      <c r="BB247" s="57"/>
      <c r="BC247" s="57"/>
      <c r="BD247" s="57"/>
      <c r="BE247" s="57"/>
      <c r="BF247" s="57"/>
      <c r="BG247" s="57"/>
      <c r="BH247" s="57"/>
      <c r="BI247" s="57"/>
      <c r="BJ247" s="57"/>
      <c r="BK247" s="57"/>
      <c r="BL247" s="57"/>
      <c r="BM247" s="57"/>
      <c r="BN247" s="57"/>
      <c r="BO247" s="57"/>
      <c r="BP247" s="57"/>
      <c r="BQ247" s="57"/>
      <c r="BR247" s="57"/>
    </row>
    <row r="248" spans="1:70" x14ac:dyDescent="0.25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7"/>
      <c r="AT248" s="57"/>
      <c r="AU248" s="57"/>
      <c r="AV248" s="57"/>
      <c r="AW248" s="57"/>
      <c r="AX248" s="57"/>
      <c r="AY248" s="57"/>
      <c r="AZ248" s="57"/>
      <c r="BA248" s="57"/>
      <c r="BB248" s="57"/>
      <c r="BC248" s="57"/>
      <c r="BD248" s="57"/>
      <c r="BE248" s="57"/>
      <c r="BF248" s="57"/>
      <c r="BG248" s="57"/>
      <c r="BH248" s="57"/>
      <c r="BI248" s="57"/>
      <c r="BJ248" s="57"/>
      <c r="BK248" s="57"/>
      <c r="BL248" s="57"/>
      <c r="BM248" s="57"/>
      <c r="BN248" s="57"/>
      <c r="BO248" s="57"/>
      <c r="BP248" s="57"/>
      <c r="BQ248" s="57"/>
      <c r="BR248" s="57"/>
    </row>
    <row r="249" spans="1:70" x14ac:dyDescent="0.25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7"/>
      <c r="AT249" s="57"/>
      <c r="AU249" s="57"/>
      <c r="AV249" s="57"/>
      <c r="AW249" s="57"/>
      <c r="AX249" s="57"/>
      <c r="AY249" s="57"/>
      <c r="AZ249" s="57"/>
      <c r="BA249" s="57"/>
      <c r="BB249" s="57"/>
      <c r="BC249" s="57"/>
      <c r="BD249" s="57"/>
      <c r="BE249" s="57"/>
      <c r="BF249" s="57"/>
      <c r="BG249" s="57"/>
      <c r="BH249" s="57"/>
      <c r="BI249" s="57"/>
      <c r="BJ249" s="57"/>
      <c r="BK249" s="57"/>
      <c r="BL249" s="57"/>
      <c r="BM249" s="57"/>
      <c r="BN249" s="57"/>
      <c r="BO249" s="57"/>
      <c r="BP249" s="57"/>
      <c r="BQ249" s="57"/>
      <c r="BR249" s="57"/>
    </row>
    <row r="250" spans="1:70" x14ac:dyDescent="0.25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7"/>
      <c r="AT250" s="57"/>
      <c r="AU250" s="57"/>
      <c r="AV250" s="57"/>
      <c r="AW250" s="57"/>
      <c r="AX250" s="57"/>
      <c r="AY250" s="57"/>
      <c r="AZ250" s="57"/>
      <c r="BA250" s="57"/>
      <c r="BB250" s="57"/>
      <c r="BC250" s="57"/>
      <c r="BD250" s="57"/>
      <c r="BE250" s="57"/>
      <c r="BF250" s="57"/>
      <c r="BG250" s="57"/>
      <c r="BH250" s="57"/>
      <c r="BI250" s="57"/>
      <c r="BJ250" s="57"/>
      <c r="BK250" s="57"/>
      <c r="BL250" s="57"/>
      <c r="BM250" s="57"/>
      <c r="BN250" s="57"/>
      <c r="BO250" s="57"/>
      <c r="BP250" s="57"/>
      <c r="BQ250" s="57"/>
      <c r="BR250" s="57"/>
    </row>
    <row r="251" spans="1:70" x14ac:dyDescent="0.25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7"/>
      <c r="AT251" s="57"/>
      <c r="AU251" s="57"/>
      <c r="AV251" s="57"/>
      <c r="AW251" s="57"/>
      <c r="AX251" s="57"/>
      <c r="AY251" s="57"/>
      <c r="AZ251" s="57"/>
      <c r="BA251" s="57"/>
      <c r="BB251" s="57"/>
      <c r="BC251" s="57"/>
      <c r="BD251" s="57"/>
      <c r="BE251" s="57"/>
      <c r="BF251" s="57"/>
      <c r="BG251" s="57"/>
      <c r="BH251" s="57"/>
      <c r="BI251" s="57"/>
      <c r="BJ251" s="57"/>
      <c r="BK251" s="57"/>
      <c r="BL251" s="57"/>
      <c r="BM251" s="57"/>
      <c r="BN251" s="57"/>
      <c r="BO251" s="57"/>
      <c r="BP251" s="57"/>
      <c r="BQ251" s="57"/>
      <c r="BR251" s="57"/>
    </row>
    <row r="252" spans="1:70" x14ac:dyDescent="0.25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7"/>
      <c r="AT252" s="57"/>
      <c r="AU252" s="57"/>
      <c r="AV252" s="57"/>
      <c r="AW252" s="57"/>
      <c r="AX252" s="57"/>
      <c r="AY252" s="57"/>
      <c r="AZ252" s="57"/>
      <c r="BA252" s="57"/>
      <c r="BB252" s="57"/>
      <c r="BC252" s="57"/>
      <c r="BD252" s="57"/>
      <c r="BE252" s="57"/>
      <c r="BF252" s="57"/>
      <c r="BG252" s="57"/>
      <c r="BH252" s="57"/>
      <c r="BI252" s="57"/>
      <c r="BJ252" s="57"/>
      <c r="BK252" s="57"/>
      <c r="BL252" s="57"/>
      <c r="BM252" s="57"/>
      <c r="BN252" s="57"/>
      <c r="BO252" s="57"/>
      <c r="BP252" s="57"/>
      <c r="BQ252" s="57"/>
      <c r="BR252" s="57"/>
    </row>
    <row r="253" spans="1:70" x14ac:dyDescent="0.25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7"/>
      <c r="AT253" s="57"/>
      <c r="AU253" s="57"/>
      <c r="AV253" s="57"/>
      <c r="AW253" s="57"/>
      <c r="AX253" s="57"/>
      <c r="AY253" s="57"/>
      <c r="AZ253" s="57"/>
      <c r="BA253" s="57"/>
      <c r="BB253" s="57"/>
      <c r="BC253" s="57"/>
      <c r="BD253" s="57"/>
      <c r="BE253" s="57"/>
      <c r="BF253" s="57"/>
      <c r="BG253" s="57"/>
      <c r="BH253" s="57"/>
      <c r="BI253" s="57"/>
      <c r="BJ253" s="57"/>
      <c r="BK253" s="57"/>
      <c r="BL253" s="57"/>
      <c r="BM253" s="57"/>
      <c r="BN253" s="57"/>
      <c r="BO253" s="57"/>
      <c r="BP253" s="57"/>
      <c r="BQ253" s="57"/>
      <c r="BR253" s="57"/>
    </row>
    <row r="254" spans="1:70" x14ac:dyDescent="0.25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7"/>
      <c r="AT254" s="57"/>
      <c r="AU254" s="57"/>
      <c r="AV254" s="57"/>
      <c r="AW254" s="57"/>
      <c r="AX254" s="57"/>
      <c r="AY254" s="57"/>
      <c r="AZ254" s="57"/>
      <c r="BA254" s="57"/>
      <c r="BB254" s="57"/>
      <c r="BC254" s="57"/>
      <c r="BD254" s="57"/>
      <c r="BE254" s="57"/>
      <c r="BF254" s="57"/>
      <c r="BG254" s="57"/>
      <c r="BH254" s="57"/>
      <c r="BI254" s="57"/>
      <c r="BJ254" s="57"/>
      <c r="BK254" s="57"/>
      <c r="BL254" s="57"/>
      <c r="BM254" s="57"/>
      <c r="BN254" s="57"/>
      <c r="BO254" s="57"/>
      <c r="BP254" s="57"/>
      <c r="BQ254" s="57"/>
      <c r="BR254" s="57"/>
    </row>
    <row r="255" spans="1:70" x14ac:dyDescent="0.25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7"/>
      <c r="AT255" s="57"/>
      <c r="AU255" s="57"/>
      <c r="AV255" s="57"/>
      <c r="AW255" s="57"/>
      <c r="AX255" s="57"/>
      <c r="AY255" s="57"/>
      <c r="AZ255" s="57"/>
      <c r="BA255" s="57"/>
      <c r="BB255" s="57"/>
      <c r="BC255" s="57"/>
      <c r="BD255" s="57"/>
      <c r="BE255" s="57"/>
      <c r="BF255" s="57"/>
      <c r="BG255" s="57"/>
      <c r="BH255" s="57"/>
      <c r="BI255" s="57"/>
      <c r="BJ255" s="57"/>
      <c r="BK255" s="57"/>
      <c r="BL255" s="57"/>
      <c r="BM255" s="57"/>
      <c r="BN255" s="57"/>
      <c r="BO255" s="57"/>
      <c r="BP255" s="57"/>
      <c r="BQ255" s="57"/>
      <c r="BR255" s="57"/>
    </row>
    <row r="256" spans="1:70" x14ac:dyDescent="0.25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7"/>
      <c r="AT256" s="57"/>
      <c r="AU256" s="57"/>
      <c r="AV256" s="57"/>
      <c r="AW256" s="57"/>
      <c r="AX256" s="57"/>
      <c r="AY256" s="57"/>
      <c r="AZ256" s="57"/>
      <c r="BA256" s="57"/>
      <c r="BB256" s="57"/>
      <c r="BC256" s="57"/>
      <c r="BD256" s="57"/>
      <c r="BE256" s="57"/>
      <c r="BF256" s="57"/>
      <c r="BG256" s="57"/>
      <c r="BH256" s="57"/>
      <c r="BI256" s="57"/>
      <c r="BJ256" s="57"/>
      <c r="BK256" s="57"/>
      <c r="BL256" s="57"/>
      <c r="BM256" s="57"/>
      <c r="BN256" s="57"/>
      <c r="BO256" s="57"/>
      <c r="BP256" s="57"/>
      <c r="BQ256" s="57"/>
      <c r="BR256" s="57"/>
    </row>
    <row r="257" spans="1:70" x14ac:dyDescent="0.25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7"/>
      <c r="AT257" s="57"/>
      <c r="AU257" s="57"/>
      <c r="AV257" s="57"/>
      <c r="AW257" s="57"/>
      <c r="AX257" s="57"/>
      <c r="AY257" s="57"/>
      <c r="AZ257" s="57"/>
      <c r="BA257" s="57"/>
      <c r="BB257" s="57"/>
      <c r="BC257" s="57"/>
      <c r="BD257" s="57"/>
      <c r="BE257" s="57"/>
      <c r="BF257" s="57"/>
      <c r="BG257" s="57"/>
      <c r="BH257" s="57"/>
      <c r="BI257" s="57"/>
      <c r="BJ257" s="57"/>
      <c r="BK257" s="57"/>
      <c r="BL257" s="57"/>
      <c r="BM257" s="57"/>
      <c r="BN257" s="57"/>
      <c r="BO257" s="57"/>
      <c r="BP257" s="57"/>
      <c r="BQ257" s="57"/>
      <c r="BR257" s="57"/>
    </row>
    <row r="258" spans="1:70" x14ac:dyDescent="0.25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7"/>
      <c r="AT258" s="57"/>
      <c r="AU258" s="57"/>
      <c r="AV258" s="57"/>
      <c r="AW258" s="57"/>
      <c r="AX258" s="57"/>
      <c r="AY258" s="57"/>
      <c r="AZ258" s="57"/>
      <c r="BA258" s="57"/>
      <c r="BB258" s="57"/>
      <c r="BC258" s="57"/>
      <c r="BD258" s="57"/>
      <c r="BE258" s="57"/>
      <c r="BF258" s="57"/>
      <c r="BG258" s="57"/>
      <c r="BH258" s="57"/>
      <c r="BI258" s="57"/>
      <c r="BJ258" s="57"/>
      <c r="BK258" s="57"/>
      <c r="BL258" s="57"/>
      <c r="BM258" s="57"/>
      <c r="BN258" s="57"/>
      <c r="BO258" s="57"/>
      <c r="BP258" s="57"/>
      <c r="BQ258" s="57"/>
      <c r="BR258" s="57"/>
    </row>
    <row r="259" spans="1:70" x14ac:dyDescent="0.25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7"/>
      <c r="AT259" s="57"/>
      <c r="AU259" s="57"/>
      <c r="AV259" s="57"/>
      <c r="AW259" s="57"/>
      <c r="AX259" s="57"/>
      <c r="AY259" s="57"/>
      <c r="AZ259" s="57"/>
      <c r="BA259" s="57"/>
      <c r="BB259" s="57"/>
      <c r="BC259" s="57"/>
      <c r="BD259" s="57"/>
      <c r="BE259" s="57"/>
      <c r="BF259" s="57"/>
      <c r="BG259" s="57"/>
      <c r="BH259" s="57"/>
      <c r="BI259" s="57"/>
      <c r="BJ259" s="57"/>
      <c r="BK259" s="57"/>
      <c r="BL259" s="57"/>
      <c r="BM259" s="57"/>
      <c r="BN259" s="57"/>
      <c r="BO259" s="57"/>
      <c r="BP259" s="57"/>
      <c r="BQ259" s="57"/>
      <c r="BR259" s="57"/>
    </row>
    <row r="260" spans="1:70" x14ac:dyDescent="0.25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7"/>
      <c r="AT260" s="57"/>
      <c r="AU260" s="57"/>
      <c r="AV260" s="57"/>
      <c r="AW260" s="57"/>
      <c r="AX260" s="57"/>
      <c r="AY260" s="57"/>
      <c r="AZ260" s="57"/>
      <c r="BA260" s="57"/>
      <c r="BB260" s="57"/>
      <c r="BC260" s="57"/>
      <c r="BD260" s="57"/>
      <c r="BE260" s="57"/>
      <c r="BF260" s="57"/>
      <c r="BG260" s="57"/>
      <c r="BH260" s="57"/>
      <c r="BI260" s="57"/>
      <c r="BJ260" s="57"/>
      <c r="BK260" s="57"/>
      <c r="BL260" s="57"/>
      <c r="BM260" s="57"/>
      <c r="BN260" s="57"/>
      <c r="BO260" s="57"/>
      <c r="BP260" s="57"/>
      <c r="BQ260" s="57"/>
      <c r="BR260" s="57"/>
    </row>
    <row r="261" spans="1:70" x14ac:dyDescent="0.25">
      <c r="A261" s="57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7"/>
      <c r="AT261" s="57"/>
      <c r="AU261" s="57"/>
      <c r="AV261" s="57"/>
      <c r="AW261" s="57"/>
      <c r="AX261" s="57"/>
      <c r="AY261" s="57"/>
      <c r="AZ261" s="57"/>
      <c r="BA261" s="57"/>
      <c r="BB261" s="57"/>
      <c r="BC261" s="57"/>
      <c r="BD261" s="57"/>
      <c r="BE261" s="57"/>
      <c r="BF261" s="57"/>
      <c r="BG261" s="57"/>
      <c r="BH261" s="57"/>
      <c r="BI261" s="57"/>
      <c r="BJ261" s="57"/>
      <c r="BK261" s="57"/>
      <c r="BL261" s="57"/>
      <c r="BM261" s="57"/>
      <c r="BN261" s="57"/>
      <c r="BO261" s="57"/>
      <c r="BP261" s="57"/>
      <c r="BQ261" s="57"/>
      <c r="BR261" s="57"/>
    </row>
    <row r="262" spans="1:70" x14ac:dyDescent="0.25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7"/>
      <c r="AT262" s="57"/>
      <c r="AU262" s="57"/>
      <c r="AV262" s="57"/>
      <c r="AW262" s="57"/>
      <c r="AX262" s="57"/>
      <c r="AY262" s="57"/>
      <c r="AZ262" s="57"/>
      <c r="BA262" s="57"/>
      <c r="BB262" s="57"/>
      <c r="BC262" s="57"/>
      <c r="BD262" s="57"/>
      <c r="BE262" s="57"/>
      <c r="BF262" s="57"/>
      <c r="BG262" s="57"/>
      <c r="BH262" s="57"/>
      <c r="BI262" s="57"/>
      <c r="BJ262" s="57"/>
      <c r="BK262" s="57"/>
      <c r="BL262" s="57"/>
      <c r="BM262" s="57"/>
      <c r="BN262" s="57"/>
      <c r="BO262" s="57"/>
      <c r="BP262" s="57"/>
      <c r="BQ262" s="57"/>
      <c r="BR262" s="57"/>
    </row>
    <row r="263" spans="1:70" x14ac:dyDescent="0.25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7"/>
      <c r="AT263" s="57"/>
      <c r="AU263" s="57"/>
      <c r="AV263" s="57"/>
      <c r="AW263" s="57"/>
      <c r="AX263" s="57"/>
      <c r="AY263" s="57"/>
      <c r="AZ263" s="57"/>
      <c r="BA263" s="57"/>
      <c r="BB263" s="57"/>
      <c r="BC263" s="57"/>
      <c r="BD263" s="57"/>
      <c r="BE263" s="57"/>
      <c r="BF263" s="57"/>
      <c r="BG263" s="57"/>
      <c r="BH263" s="57"/>
      <c r="BI263" s="57"/>
      <c r="BJ263" s="57"/>
      <c r="BK263" s="57"/>
      <c r="BL263" s="57"/>
      <c r="BM263" s="57"/>
      <c r="BN263" s="57"/>
      <c r="BO263" s="57"/>
      <c r="BP263" s="57"/>
      <c r="BQ263" s="57"/>
      <c r="BR263" s="57"/>
    </row>
    <row r="264" spans="1:70" x14ac:dyDescent="0.25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7"/>
      <c r="AT264" s="57"/>
      <c r="AU264" s="57"/>
      <c r="AV264" s="57"/>
      <c r="AW264" s="57"/>
      <c r="AX264" s="57"/>
      <c r="AY264" s="57"/>
      <c r="AZ264" s="57"/>
      <c r="BA264" s="57"/>
      <c r="BB264" s="57"/>
      <c r="BC264" s="57"/>
      <c r="BD264" s="57"/>
      <c r="BE264" s="57"/>
      <c r="BF264" s="57"/>
      <c r="BG264" s="57"/>
      <c r="BH264" s="57"/>
      <c r="BI264" s="57"/>
      <c r="BJ264" s="57"/>
      <c r="BK264" s="57"/>
      <c r="BL264" s="57"/>
      <c r="BM264" s="57"/>
      <c r="BN264" s="57"/>
      <c r="BO264" s="57"/>
      <c r="BP264" s="57"/>
      <c r="BQ264" s="57"/>
      <c r="BR264" s="57"/>
    </row>
    <row r="265" spans="1:70" x14ac:dyDescent="0.25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7"/>
      <c r="AT265" s="57"/>
      <c r="AU265" s="57"/>
      <c r="AV265" s="57"/>
      <c r="AW265" s="57"/>
      <c r="AX265" s="57"/>
      <c r="AY265" s="57"/>
      <c r="AZ265" s="57"/>
      <c r="BA265" s="57"/>
      <c r="BB265" s="57"/>
      <c r="BC265" s="57"/>
      <c r="BD265" s="57"/>
      <c r="BE265" s="57"/>
      <c r="BF265" s="57"/>
      <c r="BG265" s="57"/>
      <c r="BH265" s="57"/>
      <c r="BI265" s="57"/>
      <c r="BJ265" s="57"/>
      <c r="BK265" s="57"/>
      <c r="BL265" s="57"/>
      <c r="BM265" s="57"/>
      <c r="BN265" s="57"/>
      <c r="BO265" s="57"/>
      <c r="BP265" s="57"/>
      <c r="BQ265" s="57"/>
      <c r="BR265" s="57"/>
    </row>
    <row r="266" spans="1:70" x14ac:dyDescent="0.25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7"/>
      <c r="AT266" s="57"/>
      <c r="AU266" s="57"/>
      <c r="AV266" s="57"/>
      <c r="AW266" s="57"/>
      <c r="AX266" s="57"/>
      <c r="AY266" s="57"/>
      <c r="AZ266" s="57"/>
      <c r="BA266" s="57"/>
      <c r="BB266" s="57"/>
      <c r="BC266" s="57"/>
      <c r="BD266" s="57"/>
      <c r="BE266" s="57"/>
      <c r="BF266" s="57"/>
      <c r="BG266" s="57"/>
      <c r="BH266" s="57"/>
      <c r="BI266" s="57"/>
      <c r="BJ266" s="57"/>
      <c r="BK266" s="57"/>
      <c r="BL266" s="57"/>
      <c r="BM266" s="57"/>
      <c r="BN266" s="57"/>
      <c r="BO266" s="57"/>
      <c r="BP266" s="57"/>
      <c r="BQ266" s="57"/>
      <c r="BR266" s="57"/>
    </row>
    <row r="267" spans="1:70" x14ac:dyDescent="0.25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7"/>
      <c r="AT267" s="57"/>
      <c r="AU267" s="57"/>
      <c r="AV267" s="57"/>
      <c r="AW267" s="57"/>
      <c r="AX267" s="57"/>
      <c r="AY267" s="57"/>
      <c r="AZ267" s="57"/>
      <c r="BA267" s="57"/>
      <c r="BB267" s="57"/>
      <c r="BC267" s="57"/>
      <c r="BD267" s="57"/>
      <c r="BE267" s="57"/>
      <c r="BF267" s="57"/>
      <c r="BG267" s="57"/>
      <c r="BH267" s="57"/>
      <c r="BI267" s="57"/>
      <c r="BJ267" s="57"/>
      <c r="BK267" s="57"/>
      <c r="BL267" s="57"/>
      <c r="BM267" s="57"/>
      <c r="BN267" s="57"/>
      <c r="BO267" s="57"/>
      <c r="BP267" s="57"/>
      <c r="BQ267" s="57"/>
      <c r="BR267" s="57"/>
    </row>
    <row r="268" spans="1:70" x14ac:dyDescent="0.25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7"/>
      <c r="AT268" s="57"/>
      <c r="AU268" s="57"/>
      <c r="AV268" s="57"/>
      <c r="AW268" s="57"/>
      <c r="AX268" s="57"/>
      <c r="AY268" s="57"/>
      <c r="AZ268" s="57"/>
      <c r="BA268" s="57"/>
      <c r="BB268" s="57"/>
      <c r="BC268" s="57"/>
      <c r="BD268" s="57"/>
      <c r="BE268" s="57"/>
      <c r="BF268" s="57"/>
      <c r="BG268" s="57"/>
      <c r="BH268" s="57"/>
      <c r="BI268" s="57"/>
      <c r="BJ268" s="57"/>
      <c r="BK268" s="57"/>
      <c r="BL268" s="57"/>
      <c r="BM268" s="57"/>
      <c r="BN268" s="57"/>
      <c r="BO268" s="57"/>
      <c r="BP268" s="57"/>
      <c r="BQ268" s="57"/>
      <c r="BR268" s="57"/>
    </row>
    <row r="269" spans="1:70" x14ac:dyDescent="0.25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7"/>
      <c r="AT269" s="57"/>
      <c r="AU269" s="57"/>
      <c r="AV269" s="57"/>
      <c r="AW269" s="57"/>
      <c r="AX269" s="57"/>
      <c r="AY269" s="57"/>
      <c r="AZ269" s="57"/>
      <c r="BA269" s="57"/>
      <c r="BB269" s="57"/>
      <c r="BC269" s="57"/>
      <c r="BD269" s="57"/>
      <c r="BE269" s="57"/>
      <c r="BF269" s="57"/>
      <c r="BG269" s="57"/>
      <c r="BH269" s="57"/>
      <c r="BI269" s="57"/>
      <c r="BJ269" s="57"/>
      <c r="BK269" s="57"/>
      <c r="BL269" s="57"/>
      <c r="BM269" s="57"/>
      <c r="BN269" s="57"/>
      <c r="BO269" s="57"/>
      <c r="BP269" s="57"/>
      <c r="BQ269" s="57"/>
      <c r="BR269" s="57"/>
    </row>
    <row r="270" spans="1:70" x14ac:dyDescent="0.25">
      <c r="A270" s="57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7"/>
      <c r="AT270" s="57"/>
      <c r="AU270" s="57"/>
      <c r="AV270" s="57"/>
      <c r="AW270" s="57"/>
      <c r="AX270" s="57"/>
      <c r="AY270" s="57"/>
      <c r="AZ270" s="57"/>
      <c r="BA270" s="57"/>
      <c r="BB270" s="57"/>
      <c r="BC270" s="57"/>
      <c r="BD270" s="57"/>
      <c r="BE270" s="57"/>
      <c r="BF270" s="57"/>
      <c r="BG270" s="57"/>
      <c r="BH270" s="57"/>
      <c r="BI270" s="57"/>
      <c r="BJ270" s="57"/>
      <c r="BK270" s="57"/>
      <c r="BL270" s="57"/>
      <c r="BM270" s="57"/>
      <c r="BN270" s="57"/>
      <c r="BO270" s="57"/>
      <c r="BP270" s="57"/>
      <c r="BQ270" s="57"/>
      <c r="BR270" s="57"/>
    </row>
    <row r="271" spans="1:70" x14ac:dyDescent="0.25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7"/>
      <c r="AT271" s="57"/>
      <c r="AU271" s="57"/>
      <c r="AV271" s="57"/>
      <c r="AW271" s="57"/>
      <c r="AX271" s="57"/>
      <c r="AY271" s="57"/>
      <c r="AZ271" s="57"/>
      <c r="BA271" s="57"/>
      <c r="BB271" s="57"/>
      <c r="BC271" s="57"/>
      <c r="BD271" s="57"/>
      <c r="BE271" s="57"/>
      <c r="BF271" s="57"/>
      <c r="BG271" s="57"/>
      <c r="BH271" s="57"/>
      <c r="BI271" s="57"/>
      <c r="BJ271" s="57"/>
      <c r="BK271" s="57"/>
      <c r="BL271" s="57"/>
      <c r="BM271" s="57"/>
      <c r="BN271" s="57"/>
      <c r="BO271" s="57"/>
      <c r="BP271" s="57"/>
      <c r="BQ271" s="57"/>
      <c r="BR271" s="57"/>
    </row>
    <row r="272" spans="1:70" x14ac:dyDescent="0.25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7"/>
      <c r="AT272" s="57"/>
      <c r="AU272" s="57"/>
      <c r="AV272" s="57"/>
      <c r="AW272" s="57"/>
      <c r="AX272" s="57"/>
      <c r="AY272" s="57"/>
      <c r="AZ272" s="57"/>
      <c r="BA272" s="57"/>
      <c r="BB272" s="57"/>
      <c r="BC272" s="57"/>
      <c r="BD272" s="57"/>
      <c r="BE272" s="57"/>
      <c r="BF272" s="57"/>
      <c r="BG272" s="57"/>
      <c r="BH272" s="57"/>
      <c r="BI272" s="57"/>
      <c r="BJ272" s="57"/>
      <c r="BK272" s="57"/>
      <c r="BL272" s="57"/>
      <c r="BM272" s="57"/>
      <c r="BN272" s="57"/>
      <c r="BO272" s="57"/>
      <c r="BP272" s="57"/>
      <c r="BQ272" s="57"/>
      <c r="BR272" s="57"/>
    </row>
    <row r="273" spans="1:70" x14ac:dyDescent="0.25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7"/>
      <c r="AT273" s="57"/>
      <c r="AU273" s="57"/>
      <c r="AV273" s="57"/>
      <c r="AW273" s="57"/>
      <c r="AX273" s="57"/>
      <c r="AY273" s="57"/>
      <c r="AZ273" s="57"/>
      <c r="BA273" s="57"/>
      <c r="BB273" s="57"/>
      <c r="BC273" s="57"/>
      <c r="BD273" s="57"/>
      <c r="BE273" s="57"/>
      <c r="BF273" s="57"/>
      <c r="BG273" s="57"/>
      <c r="BH273" s="57"/>
      <c r="BI273" s="57"/>
      <c r="BJ273" s="57"/>
      <c r="BK273" s="57"/>
      <c r="BL273" s="57"/>
      <c r="BM273" s="57"/>
      <c r="BN273" s="57"/>
      <c r="BO273" s="57"/>
      <c r="BP273" s="57"/>
      <c r="BQ273" s="57"/>
      <c r="BR273" s="57"/>
    </row>
    <row r="274" spans="1:70" x14ac:dyDescent="0.25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7"/>
      <c r="AT274" s="57"/>
      <c r="AU274" s="57"/>
      <c r="AV274" s="57"/>
      <c r="AW274" s="57"/>
      <c r="AX274" s="57"/>
      <c r="AY274" s="57"/>
      <c r="AZ274" s="57"/>
      <c r="BA274" s="57"/>
      <c r="BB274" s="57"/>
      <c r="BC274" s="57"/>
      <c r="BD274" s="57"/>
      <c r="BE274" s="57"/>
      <c r="BF274" s="57"/>
      <c r="BG274" s="57"/>
      <c r="BH274" s="57"/>
      <c r="BI274" s="57"/>
      <c r="BJ274" s="57"/>
      <c r="BK274" s="57"/>
      <c r="BL274" s="57"/>
      <c r="BM274" s="57"/>
      <c r="BN274" s="57"/>
      <c r="BO274" s="57"/>
      <c r="BP274" s="57"/>
      <c r="BQ274" s="57"/>
      <c r="BR274" s="57"/>
    </row>
    <row r="275" spans="1:70" x14ac:dyDescent="0.25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7"/>
      <c r="AT275" s="57"/>
      <c r="AU275" s="57"/>
      <c r="AV275" s="57"/>
      <c r="AW275" s="57"/>
      <c r="AX275" s="57"/>
      <c r="AY275" s="57"/>
      <c r="AZ275" s="57"/>
      <c r="BA275" s="57"/>
      <c r="BB275" s="57"/>
      <c r="BC275" s="57"/>
      <c r="BD275" s="57"/>
      <c r="BE275" s="57"/>
      <c r="BF275" s="57"/>
      <c r="BG275" s="57"/>
      <c r="BH275" s="57"/>
      <c r="BI275" s="57"/>
      <c r="BJ275" s="57"/>
      <c r="BK275" s="57"/>
      <c r="BL275" s="57"/>
      <c r="BM275" s="57"/>
      <c r="BN275" s="57"/>
      <c r="BO275" s="57"/>
      <c r="BP275" s="57"/>
      <c r="BQ275" s="57"/>
      <c r="BR275" s="57"/>
    </row>
    <row r="276" spans="1:70" x14ac:dyDescent="0.25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7"/>
      <c r="AT276" s="57"/>
      <c r="AU276" s="57"/>
      <c r="AV276" s="57"/>
      <c r="AW276" s="57"/>
      <c r="AX276" s="57"/>
      <c r="AY276" s="57"/>
      <c r="AZ276" s="57"/>
      <c r="BA276" s="57"/>
      <c r="BB276" s="57"/>
      <c r="BC276" s="57"/>
      <c r="BD276" s="57"/>
      <c r="BE276" s="57"/>
      <c r="BF276" s="57"/>
      <c r="BG276" s="57"/>
      <c r="BH276" s="57"/>
      <c r="BI276" s="57"/>
      <c r="BJ276" s="57"/>
      <c r="BK276" s="57"/>
      <c r="BL276" s="57"/>
      <c r="BM276" s="57"/>
      <c r="BN276" s="57"/>
      <c r="BO276" s="57"/>
      <c r="BP276" s="57"/>
      <c r="BQ276" s="57"/>
      <c r="BR276" s="57"/>
    </row>
    <row r="277" spans="1:70" x14ac:dyDescent="0.25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7"/>
      <c r="AT277" s="57"/>
      <c r="AU277" s="57"/>
      <c r="AV277" s="57"/>
      <c r="AW277" s="57"/>
      <c r="AX277" s="57"/>
      <c r="AY277" s="57"/>
      <c r="AZ277" s="57"/>
      <c r="BA277" s="57"/>
      <c r="BB277" s="57"/>
      <c r="BC277" s="57"/>
      <c r="BD277" s="57"/>
      <c r="BE277" s="57"/>
      <c r="BF277" s="57"/>
      <c r="BG277" s="57"/>
      <c r="BH277" s="57"/>
      <c r="BI277" s="57"/>
      <c r="BJ277" s="57"/>
      <c r="BK277" s="57"/>
      <c r="BL277" s="57"/>
      <c r="BM277" s="57"/>
      <c r="BN277" s="57"/>
      <c r="BO277" s="57"/>
      <c r="BP277" s="57"/>
      <c r="BQ277" s="57"/>
      <c r="BR277" s="57"/>
    </row>
    <row r="278" spans="1:70" x14ac:dyDescent="0.25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7"/>
      <c r="AT278" s="57"/>
      <c r="AU278" s="57"/>
      <c r="AV278" s="57"/>
      <c r="AW278" s="57"/>
      <c r="AX278" s="57"/>
      <c r="AY278" s="57"/>
      <c r="AZ278" s="57"/>
      <c r="BA278" s="57"/>
      <c r="BB278" s="57"/>
      <c r="BC278" s="57"/>
      <c r="BD278" s="57"/>
      <c r="BE278" s="57"/>
      <c r="BF278" s="57"/>
      <c r="BG278" s="57"/>
      <c r="BH278" s="57"/>
      <c r="BI278" s="57"/>
      <c r="BJ278" s="57"/>
      <c r="BK278" s="57"/>
      <c r="BL278" s="57"/>
      <c r="BM278" s="57"/>
      <c r="BN278" s="57"/>
      <c r="BO278" s="57"/>
      <c r="BP278" s="57"/>
      <c r="BQ278" s="57"/>
      <c r="BR278" s="57"/>
    </row>
    <row r="279" spans="1:70" x14ac:dyDescent="0.25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7"/>
      <c r="AT279" s="57"/>
      <c r="AU279" s="57"/>
      <c r="AV279" s="57"/>
      <c r="AW279" s="57"/>
      <c r="AX279" s="57"/>
      <c r="AY279" s="57"/>
      <c r="AZ279" s="57"/>
      <c r="BA279" s="57"/>
      <c r="BB279" s="57"/>
      <c r="BC279" s="57"/>
      <c r="BD279" s="57"/>
      <c r="BE279" s="57"/>
      <c r="BF279" s="57"/>
      <c r="BG279" s="57"/>
      <c r="BH279" s="57"/>
      <c r="BI279" s="57"/>
      <c r="BJ279" s="57"/>
      <c r="BK279" s="57"/>
      <c r="BL279" s="57"/>
      <c r="BM279" s="57"/>
      <c r="BN279" s="57"/>
      <c r="BO279" s="57"/>
      <c r="BP279" s="57"/>
      <c r="BQ279" s="57"/>
      <c r="BR279" s="57"/>
    </row>
    <row r="280" spans="1:70" x14ac:dyDescent="0.25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7"/>
      <c r="AT280" s="57"/>
      <c r="AU280" s="57"/>
      <c r="AV280" s="57"/>
      <c r="AW280" s="57"/>
      <c r="AX280" s="57"/>
      <c r="AY280" s="57"/>
      <c r="AZ280" s="57"/>
      <c r="BA280" s="57"/>
      <c r="BB280" s="57"/>
      <c r="BC280" s="57"/>
      <c r="BD280" s="57"/>
      <c r="BE280" s="57"/>
      <c r="BF280" s="57"/>
      <c r="BG280" s="57"/>
      <c r="BH280" s="57"/>
      <c r="BI280" s="57"/>
      <c r="BJ280" s="57"/>
      <c r="BK280" s="57"/>
      <c r="BL280" s="57"/>
      <c r="BM280" s="57"/>
      <c r="BN280" s="57"/>
      <c r="BO280" s="57"/>
      <c r="BP280" s="57"/>
      <c r="BQ280" s="57"/>
      <c r="BR280" s="57"/>
    </row>
    <row r="281" spans="1:70" x14ac:dyDescent="0.25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7"/>
      <c r="AT281" s="57"/>
      <c r="AU281" s="57"/>
      <c r="AV281" s="57"/>
      <c r="AW281" s="57"/>
      <c r="AX281" s="57"/>
      <c r="AY281" s="57"/>
      <c r="AZ281" s="57"/>
      <c r="BA281" s="57"/>
      <c r="BB281" s="57"/>
      <c r="BC281" s="57"/>
      <c r="BD281" s="57"/>
      <c r="BE281" s="57"/>
      <c r="BF281" s="57"/>
      <c r="BG281" s="57"/>
      <c r="BH281" s="57"/>
      <c r="BI281" s="57"/>
      <c r="BJ281" s="57"/>
      <c r="BK281" s="57"/>
      <c r="BL281" s="57"/>
      <c r="BM281" s="57"/>
      <c r="BN281" s="57"/>
      <c r="BO281" s="57"/>
      <c r="BP281" s="57"/>
      <c r="BQ281" s="57"/>
      <c r="BR281" s="57"/>
    </row>
    <row r="282" spans="1:70" x14ac:dyDescent="0.25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7"/>
      <c r="AT282" s="57"/>
      <c r="AU282" s="57"/>
      <c r="AV282" s="57"/>
      <c r="AW282" s="57"/>
      <c r="AX282" s="57"/>
      <c r="AY282" s="57"/>
      <c r="AZ282" s="57"/>
      <c r="BA282" s="57"/>
      <c r="BB282" s="57"/>
      <c r="BC282" s="57"/>
      <c r="BD282" s="57"/>
      <c r="BE282" s="57"/>
      <c r="BF282" s="57"/>
      <c r="BG282" s="57"/>
      <c r="BH282" s="57"/>
      <c r="BI282" s="57"/>
      <c r="BJ282" s="57"/>
      <c r="BK282" s="57"/>
      <c r="BL282" s="57"/>
      <c r="BM282" s="57"/>
      <c r="BN282" s="57"/>
      <c r="BO282" s="57"/>
      <c r="BP282" s="57"/>
      <c r="BQ282" s="57"/>
      <c r="BR282" s="57"/>
    </row>
    <row r="283" spans="1:70" x14ac:dyDescent="0.25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7"/>
      <c r="AT283" s="57"/>
      <c r="AU283" s="57"/>
      <c r="AV283" s="57"/>
      <c r="AW283" s="57"/>
      <c r="AX283" s="57"/>
      <c r="AY283" s="57"/>
      <c r="AZ283" s="57"/>
      <c r="BA283" s="57"/>
      <c r="BB283" s="57"/>
      <c r="BC283" s="57"/>
      <c r="BD283" s="57"/>
      <c r="BE283" s="57"/>
      <c r="BF283" s="57"/>
      <c r="BG283" s="57"/>
      <c r="BH283" s="57"/>
      <c r="BI283" s="57"/>
      <c r="BJ283" s="57"/>
      <c r="BK283" s="57"/>
      <c r="BL283" s="57"/>
      <c r="BM283" s="57"/>
      <c r="BN283" s="57"/>
      <c r="BO283" s="57"/>
      <c r="BP283" s="57"/>
      <c r="BQ283" s="57"/>
      <c r="BR283" s="57"/>
    </row>
    <row r="284" spans="1:70" x14ac:dyDescent="0.25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7"/>
      <c r="AT284" s="57"/>
      <c r="AU284" s="57"/>
      <c r="AV284" s="57"/>
      <c r="AW284" s="57"/>
      <c r="AX284" s="57"/>
      <c r="AY284" s="57"/>
      <c r="AZ284" s="57"/>
      <c r="BA284" s="57"/>
      <c r="BB284" s="57"/>
      <c r="BC284" s="57"/>
      <c r="BD284" s="57"/>
      <c r="BE284" s="57"/>
      <c r="BF284" s="57"/>
      <c r="BG284" s="57"/>
      <c r="BH284" s="57"/>
      <c r="BI284" s="57"/>
      <c r="BJ284" s="57"/>
      <c r="BK284" s="57"/>
      <c r="BL284" s="57"/>
      <c r="BM284" s="57"/>
      <c r="BN284" s="57"/>
      <c r="BO284" s="57"/>
      <c r="BP284" s="57"/>
      <c r="BQ284" s="57"/>
      <c r="BR284" s="57"/>
    </row>
    <row r="285" spans="1:70" x14ac:dyDescent="0.25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7"/>
      <c r="AT285" s="57"/>
      <c r="AU285" s="57"/>
      <c r="AV285" s="57"/>
      <c r="AW285" s="57"/>
      <c r="AX285" s="57"/>
      <c r="AY285" s="57"/>
      <c r="AZ285" s="57"/>
      <c r="BA285" s="57"/>
      <c r="BB285" s="57"/>
      <c r="BC285" s="57"/>
      <c r="BD285" s="57"/>
      <c r="BE285" s="57"/>
      <c r="BF285" s="57"/>
      <c r="BG285" s="57"/>
      <c r="BH285" s="57"/>
      <c r="BI285" s="57"/>
      <c r="BJ285" s="57"/>
      <c r="BK285" s="57"/>
      <c r="BL285" s="57"/>
      <c r="BM285" s="57"/>
      <c r="BN285" s="57"/>
      <c r="BO285" s="57"/>
      <c r="BP285" s="57"/>
      <c r="BQ285" s="57"/>
      <c r="BR285" s="57"/>
    </row>
    <row r="286" spans="1:70" x14ac:dyDescent="0.25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7"/>
      <c r="AT286" s="57"/>
      <c r="AU286" s="57"/>
      <c r="AV286" s="57"/>
      <c r="AW286" s="57"/>
      <c r="AX286" s="57"/>
      <c r="AY286" s="57"/>
      <c r="AZ286" s="57"/>
      <c r="BA286" s="57"/>
      <c r="BB286" s="57"/>
      <c r="BC286" s="57"/>
      <c r="BD286" s="57"/>
      <c r="BE286" s="57"/>
      <c r="BF286" s="57"/>
      <c r="BG286" s="57"/>
      <c r="BH286" s="57"/>
      <c r="BI286" s="57"/>
      <c r="BJ286" s="57"/>
      <c r="BK286" s="57"/>
      <c r="BL286" s="57"/>
      <c r="BM286" s="57"/>
      <c r="BN286" s="57"/>
      <c r="BO286" s="57"/>
      <c r="BP286" s="57"/>
      <c r="BQ286" s="57"/>
      <c r="BR286" s="57"/>
    </row>
    <row r="287" spans="1:70" x14ac:dyDescent="0.25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7"/>
      <c r="AT287" s="57"/>
      <c r="AU287" s="57"/>
      <c r="AV287" s="57"/>
      <c r="AW287" s="57"/>
      <c r="AX287" s="57"/>
      <c r="AY287" s="57"/>
      <c r="AZ287" s="57"/>
      <c r="BA287" s="57"/>
      <c r="BB287" s="57"/>
      <c r="BC287" s="57"/>
      <c r="BD287" s="57"/>
      <c r="BE287" s="57"/>
      <c r="BF287" s="57"/>
      <c r="BG287" s="57"/>
      <c r="BH287" s="57"/>
      <c r="BI287" s="57"/>
      <c r="BJ287" s="57"/>
      <c r="BK287" s="57"/>
      <c r="BL287" s="57"/>
      <c r="BM287" s="57"/>
      <c r="BN287" s="57"/>
      <c r="BO287" s="57"/>
      <c r="BP287" s="57"/>
      <c r="BQ287" s="57"/>
      <c r="BR287" s="57"/>
    </row>
    <row r="288" spans="1:70" x14ac:dyDescent="0.25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57"/>
      <c r="AE288" s="57"/>
      <c r="AF288" s="57"/>
      <c r="AG288" s="57"/>
      <c r="AH288" s="57"/>
      <c r="AI288" s="57"/>
      <c r="AJ288" s="57"/>
      <c r="AK288" s="57"/>
      <c r="AL288" s="57"/>
      <c r="AM288" s="57"/>
      <c r="AN288" s="57"/>
      <c r="AO288" s="57"/>
      <c r="AP288" s="57"/>
      <c r="AQ288" s="57"/>
      <c r="AT288" s="57"/>
      <c r="AU288" s="57"/>
      <c r="AV288" s="57"/>
      <c r="AW288" s="57"/>
      <c r="AX288" s="57"/>
      <c r="AY288" s="57"/>
      <c r="AZ288" s="57"/>
      <c r="BA288" s="57"/>
      <c r="BB288" s="57"/>
      <c r="BC288" s="57"/>
      <c r="BD288" s="57"/>
      <c r="BE288" s="57"/>
      <c r="BF288" s="57"/>
      <c r="BG288" s="57"/>
      <c r="BH288" s="57"/>
      <c r="BI288" s="57"/>
      <c r="BJ288" s="57"/>
      <c r="BK288" s="57"/>
      <c r="BL288" s="57"/>
      <c r="BM288" s="57"/>
      <c r="BN288" s="57"/>
      <c r="BO288" s="57"/>
      <c r="BP288" s="57"/>
      <c r="BQ288" s="57"/>
      <c r="BR288" s="57"/>
    </row>
    <row r="289" spans="1:70" x14ac:dyDescent="0.25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57"/>
      <c r="AE289" s="57"/>
      <c r="AF289" s="57"/>
      <c r="AG289" s="57"/>
      <c r="AH289" s="57"/>
      <c r="AI289" s="57"/>
      <c r="AJ289" s="57"/>
      <c r="AK289" s="57"/>
      <c r="AL289" s="57"/>
      <c r="AM289" s="57"/>
      <c r="AN289" s="57"/>
      <c r="AO289" s="57"/>
      <c r="AP289" s="57"/>
      <c r="AQ289" s="57"/>
      <c r="AT289" s="57"/>
      <c r="AU289" s="57"/>
      <c r="AV289" s="57"/>
      <c r="AW289" s="57"/>
      <c r="AX289" s="57"/>
      <c r="AY289" s="57"/>
      <c r="AZ289" s="57"/>
      <c r="BA289" s="57"/>
      <c r="BB289" s="57"/>
      <c r="BC289" s="57"/>
      <c r="BD289" s="57"/>
      <c r="BE289" s="57"/>
      <c r="BF289" s="57"/>
      <c r="BG289" s="57"/>
      <c r="BH289" s="57"/>
      <c r="BI289" s="57"/>
      <c r="BJ289" s="57"/>
      <c r="BK289" s="57"/>
      <c r="BL289" s="57"/>
      <c r="BM289" s="57"/>
      <c r="BN289" s="57"/>
      <c r="BO289" s="57"/>
      <c r="BP289" s="57"/>
      <c r="BQ289" s="57"/>
      <c r="BR289" s="57"/>
    </row>
    <row r="290" spans="1:70" x14ac:dyDescent="0.25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/>
      <c r="AE290" s="57"/>
      <c r="AF290" s="57"/>
      <c r="AG290" s="57"/>
      <c r="AH290" s="57"/>
      <c r="AI290" s="57"/>
      <c r="AJ290" s="57"/>
      <c r="AK290" s="57"/>
      <c r="AL290" s="57"/>
      <c r="AM290" s="57"/>
      <c r="AN290" s="57"/>
      <c r="AO290" s="57"/>
      <c r="AP290" s="57"/>
      <c r="AQ290" s="57"/>
      <c r="AT290" s="57"/>
      <c r="AU290" s="57"/>
      <c r="AV290" s="57"/>
      <c r="AW290" s="57"/>
      <c r="AX290" s="57"/>
      <c r="AY290" s="57"/>
      <c r="AZ290" s="57"/>
      <c r="BA290" s="57"/>
      <c r="BB290" s="57"/>
      <c r="BC290" s="57"/>
      <c r="BD290" s="57"/>
      <c r="BE290" s="57"/>
      <c r="BF290" s="57"/>
      <c r="BG290" s="57"/>
      <c r="BH290" s="57"/>
      <c r="BI290" s="57"/>
      <c r="BJ290" s="57"/>
      <c r="BK290" s="57"/>
      <c r="BL290" s="57"/>
      <c r="BM290" s="57"/>
      <c r="BN290" s="57"/>
      <c r="BO290" s="57"/>
      <c r="BP290" s="57"/>
      <c r="BQ290" s="57"/>
      <c r="BR290" s="57"/>
    </row>
    <row r="291" spans="1:70" x14ac:dyDescent="0.25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57"/>
      <c r="AE291" s="57"/>
      <c r="AF291" s="57"/>
      <c r="AG291" s="57"/>
      <c r="AH291" s="57"/>
      <c r="AI291" s="57"/>
      <c r="AJ291" s="57"/>
      <c r="AK291" s="57"/>
      <c r="AL291" s="57"/>
      <c r="AM291" s="57"/>
      <c r="AN291" s="57"/>
      <c r="AO291" s="57"/>
      <c r="AP291" s="57"/>
      <c r="AQ291" s="57"/>
      <c r="AT291" s="57"/>
      <c r="AU291" s="57"/>
      <c r="AV291" s="57"/>
      <c r="AW291" s="57"/>
      <c r="AX291" s="57"/>
      <c r="AY291" s="57"/>
      <c r="AZ291" s="57"/>
      <c r="BA291" s="57"/>
      <c r="BB291" s="57"/>
      <c r="BC291" s="57"/>
      <c r="BD291" s="57"/>
      <c r="BE291" s="57"/>
      <c r="BF291" s="57"/>
      <c r="BG291" s="57"/>
      <c r="BH291" s="57"/>
      <c r="BI291" s="57"/>
      <c r="BJ291" s="57"/>
      <c r="BK291" s="57"/>
      <c r="BL291" s="57"/>
      <c r="BM291" s="57"/>
      <c r="BN291" s="57"/>
      <c r="BO291" s="57"/>
      <c r="BP291" s="57"/>
      <c r="BQ291" s="57"/>
      <c r="BR291" s="57"/>
    </row>
    <row r="292" spans="1:70" x14ac:dyDescent="0.25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57"/>
      <c r="AE292" s="57"/>
      <c r="AF292" s="57"/>
      <c r="AG292" s="57"/>
      <c r="AH292" s="57"/>
      <c r="AI292" s="57"/>
      <c r="AJ292" s="57"/>
      <c r="AK292" s="57"/>
      <c r="AL292" s="57"/>
      <c r="AM292" s="57"/>
      <c r="AN292" s="57"/>
      <c r="AO292" s="57"/>
      <c r="AP292" s="57"/>
      <c r="AQ292" s="57"/>
      <c r="AT292" s="57"/>
      <c r="AU292" s="57"/>
      <c r="AV292" s="57"/>
      <c r="AW292" s="57"/>
      <c r="AX292" s="57"/>
      <c r="AY292" s="57"/>
      <c r="AZ292" s="57"/>
      <c r="BA292" s="57"/>
      <c r="BB292" s="57"/>
      <c r="BC292" s="57"/>
      <c r="BD292" s="57"/>
      <c r="BE292" s="57"/>
      <c r="BF292" s="57"/>
      <c r="BG292" s="57"/>
      <c r="BH292" s="57"/>
      <c r="BI292" s="57"/>
      <c r="BJ292" s="57"/>
      <c r="BK292" s="57"/>
      <c r="BL292" s="57"/>
      <c r="BM292" s="57"/>
      <c r="BN292" s="57"/>
      <c r="BO292" s="57"/>
      <c r="BP292" s="57"/>
      <c r="BQ292" s="57"/>
      <c r="BR292" s="57"/>
    </row>
    <row r="293" spans="1:70" x14ac:dyDescent="0.25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  <c r="AC293" s="57"/>
      <c r="AD293" s="57"/>
      <c r="AE293" s="57"/>
      <c r="AF293" s="57"/>
      <c r="AG293" s="57"/>
      <c r="AH293" s="57"/>
      <c r="AI293" s="57"/>
      <c r="AJ293" s="57"/>
      <c r="AK293" s="57"/>
      <c r="AL293" s="57"/>
      <c r="AM293" s="57"/>
      <c r="AN293" s="57"/>
      <c r="AO293" s="57"/>
      <c r="AP293" s="57"/>
      <c r="AQ293" s="57"/>
      <c r="AT293" s="57"/>
      <c r="AU293" s="57"/>
      <c r="AV293" s="57"/>
      <c r="AW293" s="57"/>
      <c r="AX293" s="57"/>
      <c r="AY293" s="57"/>
      <c r="AZ293" s="57"/>
      <c r="BA293" s="57"/>
      <c r="BB293" s="57"/>
      <c r="BC293" s="57"/>
      <c r="BD293" s="57"/>
      <c r="BE293" s="57"/>
      <c r="BF293" s="57"/>
      <c r="BG293" s="57"/>
      <c r="BH293" s="57"/>
      <c r="BI293" s="57"/>
      <c r="BJ293" s="57"/>
      <c r="BK293" s="57"/>
      <c r="BL293" s="57"/>
      <c r="BM293" s="57"/>
      <c r="BN293" s="57"/>
      <c r="BO293" s="57"/>
      <c r="BP293" s="57"/>
      <c r="BQ293" s="57"/>
      <c r="BR293" s="57"/>
    </row>
    <row r="294" spans="1:70" x14ac:dyDescent="0.25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  <c r="AG294" s="57"/>
      <c r="AH294" s="57"/>
      <c r="AI294" s="57"/>
      <c r="AJ294" s="57"/>
      <c r="AK294" s="57"/>
      <c r="AL294" s="57"/>
      <c r="AM294" s="57"/>
      <c r="AN294" s="57"/>
      <c r="AO294" s="57"/>
      <c r="AP294" s="57"/>
      <c r="AQ294" s="57"/>
      <c r="AT294" s="57"/>
      <c r="AU294" s="57"/>
      <c r="AV294" s="57"/>
      <c r="AW294" s="57"/>
      <c r="AX294" s="57"/>
      <c r="AY294" s="57"/>
      <c r="AZ294" s="57"/>
      <c r="BA294" s="57"/>
      <c r="BB294" s="57"/>
      <c r="BC294" s="57"/>
      <c r="BD294" s="57"/>
      <c r="BE294" s="57"/>
      <c r="BF294" s="57"/>
      <c r="BG294" s="57"/>
      <c r="BH294" s="57"/>
      <c r="BI294" s="57"/>
      <c r="BJ294" s="57"/>
      <c r="BK294" s="57"/>
      <c r="BL294" s="57"/>
      <c r="BM294" s="57"/>
      <c r="BN294" s="57"/>
      <c r="BO294" s="57"/>
      <c r="BP294" s="57"/>
      <c r="BQ294" s="57"/>
      <c r="BR294" s="57"/>
    </row>
    <row r="295" spans="1:70" x14ac:dyDescent="0.25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57"/>
      <c r="AE295" s="57"/>
      <c r="AF295" s="57"/>
      <c r="AG295" s="57"/>
      <c r="AH295" s="57"/>
      <c r="AI295" s="57"/>
      <c r="AJ295" s="57"/>
      <c r="AK295" s="57"/>
      <c r="AL295" s="57"/>
      <c r="AM295" s="57"/>
      <c r="AN295" s="57"/>
      <c r="AO295" s="57"/>
      <c r="AP295" s="57"/>
      <c r="AQ295" s="57"/>
      <c r="AT295" s="57"/>
      <c r="AU295" s="57"/>
      <c r="AV295" s="57"/>
      <c r="AW295" s="57"/>
      <c r="AX295" s="57"/>
      <c r="AY295" s="57"/>
      <c r="AZ295" s="57"/>
      <c r="BA295" s="57"/>
      <c r="BB295" s="57"/>
      <c r="BC295" s="57"/>
      <c r="BD295" s="57"/>
      <c r="BE295" s="57"/>
      <c r="BF295" s="57"/>
      <c r="BG295" s="57"/>
      <c r="BH295" s="57"/>
      <c r="BI295" s="57"/>
      <c r="BJ295" s="57"/>
      <c r="BK295" s="57"/>
      <c r="BL295" s="57"/>
      <c r="BM295" s="57"/>
      <c r="BN295" s="57"/>
      <c r="BO295" s="57"/>
      <c r="BP295" s="57"/>
      <c r="BQ295" s="57"/>
      <c r="BR295" s="57"/>
    </row>
    <row r="296" spans="1:70" x14ac:dyDescent="0.25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57"/>
      <c r="AE296" s="57"/>
      <c r="AF296" s="57"/>
      <c r="AG296" s="57"/>
      <c r="AH296" s="57"/>
      <c r="AI296" s="57"/>
      <c r="AJ296" s="57"/>
      <c r="AK296" s="57"/>
      <c r="AL296" s="57"/>
      <c r="AM296" s="57"/>
      <c r="AN296" s="57"/>
      <c r="AO296" s="57"/>
      <c r="AP296" s="57"/>
      <c r="AQ296" s="57"/>
      <c r="AT296" s="57"/>
      <c r="AU296" s="57"/>
      <c r="AV296" s="57"/>
      <c r="AW296" s="57"/>
      <c r="AX296" s="57"/>
      <c r="AY296" s="57"/>
      <c r="AZ296" s="57"/>
      <c r="BA296" s="57"/>
      <c r="BB296" s="57"/>
      <c r="BC296" s="57"/>
      <c r="BD296" s="57"/>
      <c r="BE296" s="57"/>
      <c r="BF296" s="57"/>
      <c r="BG296" s="57"/>
      <c r="BH296" s="57"/>
      <c r="BI296" s="57"/>
      <c r="BJ296" s="57"/>
      <c r="BK296" s="57"/>
      <c r="BL296" s="57"/>
      <c r="BM296" s="57"/>
      <c r="BN296" s="57"/>
      <c r="BO296" s="57"/>
      <c r="BP296" s="57"/>
      <c r="BQ296" s="57"/>
      <c r="BR296" s="57"/>
    </row>
    <row r="297" spans="1:70" x14ac:dyDescent="0.25">
      <c r="A297" s="57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  <c r="AB297" s="57"/>
      <c r="AC297" s="57"/>
      <c r="AD297" s="57"/>
      <c r="AE297" s="57"/>
      <c r="AF297" s="57"/>
      <c r="AG297" s="57"/>
      <c r="AH297" s="57"/>
      <c r="AI297" s="57"/>
      <c r="AJ297" s="57"/>
      <c r="AK297" s="57"/>
      <c r="AL297" s="57"/>
      <c r="AM297" s="57"/>
      <c r="AN297" s="57"/>
      <c r="AO297" s="57"/>
      <c r="AP297" s="57"/>
      <c r="AQ297" s="57"/>
      <c r="AT297" s="57"/>
      <c r="AU297" s="57"/>
      <c r="AV297" s="57"/>
      <c r="AW297" s="57"/>
      <c r="AX297" s="57"/>
      <c r="AY297" s="57"/>
      <c r="AZ297" s="57"/>
      <c r="BA297" s="57"/>
      <c r="BB297" s="57"/>
      <c r="BC297" s="57"/>
      <c r="BD297" s="57"/>
      <c r="BE297" s="57"/>
      <c r="BF297" s="57"/>
      <c r="BG297" s="57"/>
      <c r="BH297" s="57"/>
      <c r="BI297" s="57"/>
      <c r="BJ297" s="57"/>
      <c r="BK297" s="57"/>
      <c r="BL297" s="57"/>
      <c r="BM297" s="57"/>
      <c r="BN297" s="57"/>
      <c r="BO297" s="57"/>
      <c r="BP297" s="57"/>
      <c r="BQ297" s="57"/>
      <c r="BR297" s="57"/>
    </row>
    <row r="298" spans="1:70" x14ac:dyDescent="0.25">
      <c r="A298" s="57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  <c r="AC298" s="57"/>
      <c r="AD298" s="57"/>
      <c r="AE298" s="57"/>
      <c r="AF298" s="57"/>
      <c r="AG298" s="57"/>
      <c r="AH298" s="57"/>
      <c r="AI298" s="57"/>
      <c r="AJ298" s="57"/>
      <c r="AK298" s="57"/>
      <c r="AL298" s="57"/>
      <c r="AM298" s="57"/>
      <c r="AN298" s="57"/>
      <c r="AO298" s="57"/>
      <c r="AP298" s="57"/>
      <c r="AQ298" s="57"/>
      <c r="AT298" s="57"/>
      <c r="AU298" s="57"/>
      <c r="AV298" s="57"/>
      <c r="AW298" s="57"/>
      <c r="AX298" s="57"/>
      <c r="AY298" s="57"/>
      <c r="AZ298" s="57"/>
      <c r="BA298" s="57"/>
      <c r="BB298" s="57"/>
      <c r="BC298" s="57"/>
      <c r="BD298" s="57"/>
      <c r="BE298" s="57"/>
      <c r="BF298" s="57"/>
      <c r="BG298" s="57"/>
      <c r="BH298" s="57"/>
      <c r="BI298" s="57"/>
      <c r="BJ298" s="57"/>
      <c r="BK298" s="57"/>
      <c r="BL298" s="57"/>
      <c r="BM298" s="57"/>
      <c r="BN298" s="57"/>
      <c r="BO298" s="57"/>
      <c r="BP298" s="57"/>
      <c r="BQ298" s="57"/>
      <c r="BR298" s="57"/>
    </row>
    <row r="299" spans="1:70" x14ac:dyDescent="0.25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  <c r="AB299" s="57"/>
      <c r="AC299" s="57"/>
      <c r="AD299" s="57"/>
      <c r="AE299" s="57"/>
      <c r="AF299" s="57"/>
      <c r="AG299" s="57"/>
      <c r="AH299" s="57"/>
      <c r="AI299" s="57"/>
      <c r="AJ299" s="57"/>
      <c r="AK299" s="57"/>
      <c r="AL299" s="57"/>
      <c r="AM299" s="57"/>
      <c r="AN299" s="57"/>
      <c r="AO299" s="57"/>
      <c r="AP299" s="57"/>
      <c r="AQ299" s="57"/>
      <c r="AT299" s="57"/>
      <c r="AU299" s="57"/>
      <c r="AV299" s="57"/>
      <c r="AW299" s="57"/>
      <c r="AX299" s="57"/>
      <c r="AY299" s="57"/>
      <c r="AZ299" s="57"/>
      <c r="BA299" s="57"/>
      <c r="BB299" s="57"/>
      <c r="BC299" s="57"/>
      <c r="BD299" s="57"/>
      <c r="BE299" s="57"/>
      <c r="BF299" s="57"/>
      <c r="BG299" s="57"/>
      <c r="BH299" s="57"/>
      <c r="BI299" s="57"/>
      <c r="BJ299" s="57"/>
      <c r="BK299" s="57"/>
      <c r="BL299" s="57"/>
      <c r="BM299" s="57"/>
      <c r="BN299" s="57"/>
      <c r="BO299" s="57"/>
      <c r="BP299" s="57"/>
      <c r="BQ299" s="57"/>
      <c r="BR299" s="57"/>
    </row>
    <row r="300" spans="1:70" x14ac:dyDescent="0.25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  <c r="AC300" s="57"/>
      <c r="AD300" s="57"/>
      <c r="AE300" s="57"/>
      <c r="AF300" s="57"/>
      <c r="AG300" s="57"/>
      <c r="AH300" s="57"/>
      <c r="AI300" s="57"/>
      <c r="AJ300" s="57"/>
      <c r="AK300" s="57"/>
      <c r="AL300" s="57"/>
      <c r="AM300" s="57"/>
      <c r="AN300" s="57"/>
      <c r="AO300" s="57"/>
      <c r="AP300" s="57"/>
      <c r="AQ300" s="57"/>
      <c r="AT300" s="57"/>
      <c r="AU300" s="57"/>
      <c r="AV300" s="57"/>
      <c r="AW300" s="57"/>
      <c r="AX300" s="57"/>
      <c r="AY300" s="57"/>
      <c r="AZ300" s="57"/>
      <c r="BA300" s="57"/>
      <c r="BB300" s="57"/>
      <c r="BC300" s="57"/>
      <c r="BD300" s="57"/>
      <c r="BE300" s="57"/>
      <c r="BF300" s="57"/>
      <c r="BG300" s="57"/>
      <c r="BH300" s="57"/>
      <c r="BI300" s="57"/>
      <c r="BJ300" s="57"/>
      <c r="BK300" s="57"/>
      <c r="BL300" s="57"/>
      <c r="BM300" s="57"/>
      <c r="BN300" s="57"/>
      <c r="BO300" s="57"/>
      <c r="BP300" s="57"/>
      <c r="BQ300" s="57"/>
      <c r="BR300" s="57"/>
    </row>
    <row r="301" spans="1:70" x14ac:dyDescent="0.25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  <c r="AB301" s="57"/>
      <c r="AC301" s="57"/>
      <c r="AD301" s="57"/>
      <c r="AE301" s="57"/>
      <c r="AF301" s="57"/>
      <c r="AG301" s="57"/>
      <c r="AH301" s="57"/>
      <c r="AI301" s="57"/>
      <c r="AJ301" s="57"/>
      <c r="AK301" s="57"/>
      <c r="AL301" s="57"/>
      <c r="AM301" s="57"/>
      <c r="AN301" s="57"/>
      <c r="AO301" s="57"/>
      <c r="AP301" s="57"/>
      <c r="AQ301" s="57"/>
      <c r="AT301" s="57"/>
      <c r="AU301" s="57"/>
      <c r="AV301" s="57"/>
      <c r="AW301" s="57"/>
      <c r="AX301" s="57"/>
      <c r="AY301" s="57"/>
      <c r="AZ301" s="57"/>
      <c r="BA301" s="57"/>
      <c r="BB301" s="57"/>
      <c r="BC301" s="57"/>
      <c r="BD301" s="57"/>
      <c r="BE301" s="57"/>
      <c r="BF301" s="57"/>
      <c r="BG301" s="57"/>
      <c r="BH301" s="57"/>
      <c r="BI301" s="57"/>
      <c r="BJ301" s="57"/>
      <c r="BK301" s="57"/>
      <c r="BL301" s="57"/>
      <c r="BM301" s="57"/>
      <c r="BN301" s="57"/>
      <c r="BO301" s="57"/>
      <c r="BP301" s="57"/>
      <c r="BQ301" s="57"/>
      <c r="BR301" s="57"/>
    </row>
    <row r="302" spans="1:70" x14ac:dyDescent="0.25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  <c r="AC302" s="57"/>
      <c r="AD302" s="57"/>
      <c r="AE302" s="57"/>
      <c r="AF302" s="57"/>
      <c r="AG302" s="57"/>
      <c r="AH302" s="57"/>
      <c r="AI302" s="57"/>
      <c r="AJ302" s="57"/>
      <c r="AK302" s="57"/>
      <c r="AL302" s="57"/>
      <c r="AM302" s="57"/>
      <c r="AN302" s="57"/>
      <c r="AO302" s="57"/>
      <c r="AP302" s="57"/>
      <c r="AQ302" s="57"/>
      <c r="AT302" s="57"/>
      <c r="AU302" s="57"/>
      <c r="AV302" s="57"/>
      <c r="AW302" s="57"/>
      <c r="AX302" s="57"/>
      <c r="AY302" s="57"/>
      <c r="AZ302" s="57"/>
      <c r="BA302" s="57"/>
      <c r="BB302" s="57"/>
      <c r="BC302" s="57"/>
      <c r="BD302" s="57"/>
      <c r="BE302" s="57"/>
      <c r="BF302" s="57"/>
      <c r="BG302" s="57"/>
      <c r="BH302" s="57"/>
      <c r="BI302" s="57"/>
      <c r="BJ302" s="57"/>
      <c r="BK302" s="57"/>
      <c r="BL302" s="57"/>
      <c r="BM302" s="57"/>
      <c r="BN302" s="57"/>
      <c r="BO302" s="57"/>
      <c r="BP302" s="57"/>
      <c r="BQ302" s="57"/>
      <c r="BR302" s="57"/>
    </row>
    <row r="303" spans="1:70" x14ac:dyDescent="0.25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  <c r="AB303" s="57"/>
      <c r="AC303" s="57"/>
      <c r="AD303" s="57"/>
      <c r="AE303" s="57"/>
      <c r="AF303" s="57"/>
      <c r="AG303" s="57"/>
      <c r="AH303" s="57"/>
      <c r="AI303" s="57"/>
      <c r="AJ303" s="57"/>
      <c r="AK303" s="57"/>
      <c r="AL303" s="57"/>
      <c r="AM303" s="57"/>
      <c r="AN303" s="57"/>
      <c r="AO303" s="57"/>
      <c r="AP303" s="57"/>
      <c r="AQ303" s="57"/>
      <c r="AT303" s="57"/>
      <c r="AU303" s="57"/>
      <c r="AV303" s="57"/>
      <c r="AW303" s="57"/>
      <c r="AX303" s="57"/>
      <c r="AY303" s="57"/>
      <c r="AZ303" s="57"/>
      <c r="BA303" s="57"/>
      <c r="BB303" s="57"/>
      <c r="BC303" s="57"/>
      <c r="BD303" s="57"/>
      <c r="BE303" s="57"/>
      <c r="BF303" s="57"/>
      <c r="BG303" s="57"/>
      <c r="BH303" s="57"/>
      <c r="BI303" s="57"/>
      <c r="BJ303" s="57"/>
      <c r="BK303" s="57"/>
      <c r="BL303" s="57"/>
      <c r="BM303" s="57"/>
      <c r="BN303" s="57"/>
      <c r="BO303" s="57"/>
      <c r="BP303" s="57"/>
      <c r="BQ303" s="57"/>
      <c r="BR303" s="57"/>
    </row>
    <row r="304" spans="1:70" x14ac:dyDescent="0.25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  <c r="AB304" s="57"/>
      <c r="AC304" s="57"/>
      <c r="AD304" s="57"/>
      <c r="AE304" s="57"/>
      <c r="AF304" s="57"/>
      <c r="AG304" s="57"/>
      <c r="AH304" s="57"/>
      <c r="AI304" s="57"/>
      <c r="AJ304" s="57"/>
      <c r="AK304" s="57"/>
      <c r="AL304" s="57"/>
      <c r="AM304" s="57"/>
      <c r="AN304" s="57"/>
      <c r="AO304" s="57"/>
      <c r="AP304" s="57"/>
      <c r="AQ304" s="57"/>
      <c r="AT304" s="57"/>
      <c r="AU304" s="57"/>
      <c r="AV304" s="57"/>
      <c r="AW304" s="57"/>
      <c r="AX304" s="57"/>
      <c r="AY304" s="57"/>
      <c r="AZ304" s="57"/>
      <c r="BA304" s="57"/>
      <c r="BB304" s="57"/>
      <c r="BC304" s="57"/>
      <c r="BD304" s="57"/>
      <c r="BE304" s="57"/>
      <c r="BF304" s="57"/>
      <c r="BG304" s="57"/>
      <c r="BH304" s="57"/>
      <c r="BI304" s="57"/>
      <c r="BJ304" s="57"/>
      <c r="BK304" s="57"/>
      <c r="BL304" s="57"/>
      <c r="BM304" s="57"/>
      <c r="BN304" s="57"/>
      <c r="BO304" s="57"/>
      <c r="BP304" s="57"/>
      <c r="BQ304" s="57"/>
      <c r="BR304" s="57"/>
    </row>
    <row r="305" spans="1:70" x14ac:dyDescent="0.25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  <c r="AB305" s="57"/>
      <c r="AC305" s="57"/>
      <c r="AD305" s="57"/>
      <c r="AE305" s="57"/>
      <c r="AF305" s="57"/>
      <c r="AG305" s="57"/>
      <c r="AH305" s="57"/>
      <c r="AI305" s="57"/>
      <c r="AJ305" s="57"/>
      <c r="AK305" s="57"/>
      <c r="AL305" s="57"/>
      <c r="AM305" s="57"/>
      <c r="AN305" s="57"/>
      <c r="AO305" s="57"/>
      <c r="AP305" s="57"/>
      <c r="AQ305" s="57"/>
      <c r="AT305" s="57"/>
      <c r="AU305" s="57"/>
      <c r="AV305" s="57"/>
      <c r="AW305" s="57"/>
      <c r="AX305" s="57"/>
      <c r="AY305" s="57"/>
      <c r="AZ305" s="57"/>
      <c r="BA305" s="57"/>
      <c r="BB305" s="57"/>
      <c r="BC305" s="57"/>
      <c r="BD305" s="57"/>
      <c r="BE305" s="57"/>
      <c r="BF305" s="57"/>
      <c r="BG305" s="57"/>
      <c r="BH305" s="57"/>
      <c r="BI305" s="57"/>
      <c r="BJ305" s="57"/>
      <c r="BK305" s="57"/>
      <c r="BL305" s="57"/>
      <c r="BM305" s="57"/>
      <c r="BN305" s="57"/>
      <c r="BO305" s="57"/>
      <c r="BP305" s="57"/>
      <c r="BQ305" s="57"/>
      <c r="BR305" s="57"/>
    </row>
    <row r="306" spans="1:70" x14ac:dyDescent="0.25">
      <c r="A306" s="57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  <c r="AB306" s="57"/>
      <c r="AC306" s="57"/>
      <c r="AD306" s="57"/>
      <c r="AE306" s="57"/>
      <c r="AF306" s="57"/>
      <c r="AG306" s="57"/>
      <c r="AH306" s="57"/>
      <c r="AI306" s="57"/>
      <c r="AJ306" s="57"/>
      <c r="AK306" s="57"/>
      <c r="AL306" s="57"/>
      <c r="AM306" s="57"/>
      <c r="AN306" s="57"/>
      <c r="AO306" s="57"/>
      <c r="AP306" s="57"/>
      <c r="AQ306" s="57"/>
      <c r="AT306" s="57"/>
      <c r="AU306" s="57"/>
      <c r="AV306" s="57"/>
      <c r="AW306" s="57"/>
      <c r="AX306" s="57"/>
      <c r="AY306" s="57"/>
      <c r="AZ306" s="57"/>
      <c r="BA306" s="57"/>
      <c r="BB306" s="57"/>
      <c r="BC306" s="57"/>
      <c r="BD306" s="57"/>
      <c r="BE306" s="57"/>
      <c r="BF306" s="57"/>
      <c r="BG306" s="57"/>
      <c r="BH306" s="57"/>
      <c r="BI306" s="57"/>
      <c r="BJ306" s="57"/>
      <c r="BK306" s="57"/>
      <c r="BL306" s="57"/>
      <c r="BM306" s="57"/>
      <c r="BN306" s="57"/>
      <c r="BO306" s="57"/>
      <c r="BP306" s="57"/>
      <c r="BQ306" s="57"/>
      <c r="BR306" s="57"/>
    </row>
    <row r="307" spans="1:70" x14ac:dyDescent="0.25">
      <c r="A307" s="57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  <c r="AB307" s="57"/>
      <c r="AC307" s="57"/>
      <c r="AD307" s="57"/>
      <c r="AE307" s="57"/>
      <c r="AF307" s="57"/>
      <c r="AG307" s="57"/>
      <c r="AH307" s="57"/>
      <c r="AI307" s="57"/>
      <c r="AJ307" s="57"/>
      <c r="AK307" s="57"/>
      <c r="AL307" s="57"/>
      <c r="AM307" s="57"/>
      <c r="AN307" s="57"/>
      <c r="AO307" s="57"/>
      <c r="AP307" s="57"/>
      <c r="AQ307" s="57"/>
      <c r="AT307" s="57"/>
      <c r="AU307" s="57"/>
      <c r="AV307" s="57"/>
      <c r="AW307" s="57"/>
      <c r="AX307" s="57"/>
      <c r="AY307" s="57"/>
      <c r="AZ307" s="57"/>
      <c r="BA307" s="57"/>
      <c r="BB307" s="57"/>
      <c r="BC307" s="57"/>
      <c r="BD307" s="57"/>
      <c r="BE307" s="57"/>
      <c r="BF307" s="57"/>
      <c r="BG307" s="57"/>
      <c r="BH307" s="57"/>
      <c r="BI307" s="57"/>
      <c r="BJ307" s="57"/>
      <c r="BK307" s="57"/>
      <c r="BL307" s="57"/>
      <c r="BM307" s="57"/>
      <c r="BN307" s="57"/>
      <c r="BO307" s="57"/>
      <c r="BP307" s="57"/>
      <c r="BQ307" s="57"/>
      <c r="BR307" s="57"/>
    </row>
    <row r="308" spans="1:70" x14ac:dyDescent="0.25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  <c r="AB308" s="57"/>
      <c r="AC308" s="57"/>
      <c r="AD308" s="57"/>
      <c r="AE308" s="57"/>
      <c r="AF308" s="57"/>
      <c r="AG308" s="57"/>
      <c r="AH308" s="57"/>
      <c r="AI308" s="57"/>
      <c r="AJ308" s="57"/>
      <c r="AK308" s="57"/>
      <c r="AL308" s="57"/>
      <c r="AM308" s="57"/>
      <c r="AN308" s="57"/>
      <c r="AO308" s="57"/>
      <c r="AP308" s="57"/>
      <c r="AQ308" s="57"/>
      <c r="AT308" s="57"/>
      <c r="AU308" s="57"/>
      <c r="AV308" s="57"/>
      <c r="AW308" s="57"/>
      <c r="AX308" s="57"/>
      <c r="AY308" s="57"/>
      <c r="AZ308" s="57"/>
      <c r="BA308" s="57"/>
      <c r="BB308" s="57"/>
      <c r="BC308" s="57"/>
      <c r="BD308" s="57"/>
      <c r="BE308" s="57"/>
      <c r="BF308" s="57"/>
      <c r="BG308" s="57"/>
      <c r="BH308" s="57"/>
      <c r="BI308" s="57"/>
      <c r="BJ308" s="57"/>
      <c r="BK308" s="57"/>
      <c r="BL308" s="57"/>
      <c r="BM308" s="57"/>
      <c r="BN308" s="57"/>
      <c r="BO308" s="57"/>
      <c r="BP308" s="57"/>
      <c r="BQ308" s="57"/>
      <c r="BR308" s="57"/>
    </row>
    <row r="309" spans="1:70" x14ac:dyDescent="0.25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  <c r="AB309" s="57"/>
      <c r="AC309" s="57"/>
      <c r="AD309" s="57"/>
      <c r="AE309" s="57"/>
      <c r="AF309" s="57"/>
      <c r="AG309" s="57"/>
      <c r="AH309" s="57"/>
      <c r="AI309" s="57"/>
      <c r="AJ309" s="57"/>
      <c r="AK309" s="57"/>
      <c r="AL309" s="57"/>
      <c r="AM309" s="57"/>
      <c r="AN309" s="57"/>
      <c r="AO309" s="57"/>
      <c r="AP309" s="57"/>
      <c r="AQ309" s="57"/>
      <c r="AT309" s="57"/>
      <c r="AU309" s="57"/>
      <c r="AV309" s="57"/>
      <c r="AW309" s="57"/>
      <c r="AX309" s="57"/>
      <c r="AY309" s="57"/>
      <c r="AZ309" s="57"/>
      <c r="BA309" s="57"/>
      <c r="BB309" s="57"/>
      <c r="BC309" s="57"/>
      <c r="BD309" s="57"/>
      <c r="BE309" s="57"/>
      <c r="BF309" s="57"/>
      <c r="BG309" s="57"/>
      <c r="BH309" s="57"/>
      <c r="BI309" s="57"/>
      <c r="BJ309" s="57"/>
      <c r="BK309" s="57"/>
      <c r="BL309" s="57"/>
      <c r="BM309" s="57"/>
      <c r="BN309" s="57"/>
      <c r="BO309" s="57"/>
      <c r="BP309" s="57"/>
      <c r="BQ309" s="57"/>
      <c r="BR309" s="57"/>
    </row>
    <row r="310" spans="1:70" x14ac:dyDescent="0.25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  <c r="AC310" s="57"/>
      <c r="AD310" s="57"/>
      <c r="AE310" s="57"/>
      <c r="AF310" s="57"/>
      <c r="AG310" s="57"/>
      <c r="AH310" s="57"/>
      <c r="AI310" s="57"/>
      <c r="AJ310" s="57"/>
      <c r="AK310" s="57"/>
      <c r="AL310" s="57"/>
      <c r="AM310" s="57"/>
      <c r="AN310" s="57"/>
      <c r="AO310" s="57"/>
      <c r="AP310" s="57"/>
      <c r="AQ310" s="57"/>
      <c r="AT310" s="57"/>
      <c r="AU310" s="57"/>
      <c r="AV310" s="57"/>
      <c r="AW310" s="57"/>
      <c r="AX310" s="57"/>
      <c r="AY310" s="57"/>
      <c r="AZ310" s="57"/>
      <c r="BA310" s="57"/>
      <c r="BB310" s="57"/>
      <c r="BC310" s="57"/>
      <c r="BD310" s="57"/>
      <c r="BE310" s="57"/>
      <c r="BF310" s="57"/>
      <c r="BG310" s="57"/>
      <c r="BH310" s="57"/>
      <c r="BI310" s="57"/>
      <c r="BJ310" s="57"/>
      <c r="BK310" s="57"/>
      <c r="BL310" s="57"/>
      <c r="BM310" s="57"/>
      <c r="BN310" s="57"/>
      <c r="BO310" s="57"/>
      <c r="BP310" s="57"/>
      <c r="BQ310" s="57"/>
      <c r="BR310" s="57"/>
    </row>
    <row r="311" spans="1:70" x14ac:dyDescent="0.25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  <c r="AB311" s="57"/>
      <c r="AC311" s="57"/>
      <c r="AD311" s="57"/>
      <c r="AE311" s="57"/>
      <c r="AF311" s="57"/>
      <c r="AG311" s="57"/>
      <c r="AH311" s="57"/>
      <c r="AI311" s="57"/>
      <c r="AJ311" s="57"/>
      <c r="AK311" s="57"/>
      <c r="AL311" s="57"/>
      <c r="AM311" s="57"/>
      <c r="AN311" s="57"/>
      <c r="AO311" s="57"/>
      <c r="AP311" s="57"/>
      <c r="AQ311" s="57"/>
      <c r="AT311" s="57"/>
      <c r="AU311" s="57"/>
      <c r="AV311" s="57"/>
      <c r="AW311" s="57"/>
      <c r="AX311" s="57"/>
      <c r="AY311" s="57"/>
      <c r="AZ311" s="57"/>
      <c r="BA311" s="57"/>
      <c r="BB311" s="57"/>
      <c r="BC311" s="57"/>
      <c r="BD311" s="57"/>
      <c r="BE311" s="57"/>
      <c r="BF311" s="57"/>
      <c r="BG311" s="57"/>
      <c r="BH311" s="57"/>
      <c r="BI311" s="57"/>
      <c r="BJ311" s="57"/>
      <c r="BK311" s="57"/>
      <c r="BL311" s="57"/>
      <c r="BM311" s="57"/>
      <c r="BN311" s="57"/>
      <c r="BO311" s="57"/>
      <c r="BP311" s="57"/>
      <c r="BQ311" s="57"/>
      <c r="BR311" s="57"/>
    </row>
    <row r="312" spans="1:70" x14ac:dyDescent="0.25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  <c r="AB312" s="57"/>
      <c r="AC312" s="57"/>
      <c r="AD312" s="57"/>
      <c r="AE312" s="57"/>
      <c r="AF312" s="57"/>
      <c r="AG312" s="57"/>
      <c r="AH312" s="57"/>
      <c r="AI312" s="57"/>
      <c r="AJ312" s="57"/>
      <c r="AK312" s="57"/>
      <c r="AL312" s="57"/>
      <c r="AM312" s="57"/>
      <c r="AN312" s="57"/>
      <c r="AO312" s="57"/>
      <c r="AP312" s="57"/>
      <c r="AQ312" s="57"/>
      <c r="AT312" s="57"/>
      <c r="AU312" s="57"/>
      <c r="AV312" s="57"/>
      <c r="AW312" s="57"/>
      <c r="AX312" s="57"/>
      <c r="AY312" s="57"/>
      <c r="AZ312" s="57"/>
      <c r="BA312" s="57"/>
      <c r="BB312" s="57"/>
      <c r="BC312" s="57"/>
      <c r="BD312" s="57"/>
      <c r="BE312" s="57"/>
      <c r="BF312" s="57"/>
      <c r="BG312" s="57"/>
      <c r="BH312" s="57"/>
      <c r="BI312" s="57"/>
      <c r="BJ312" s="57"/>
      <c r="BK312" s="57"/>
      <c r="BL312" s="57"/>
      <c r="BM312" s="57"/>
      <c r="BN312" s="57"/>
      <c r="BO312" s="57"/>
      <c r="BP312" s="57"/>
      <c r="BQ312" s="57"/>
      <c r="BR312" s="57"/>
    </row>
    <row r="313" spans="1:70" x14ac:dyDescent="0.25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  <c r="AB313" s="57"/>
      <c r="AC313" s="57"/>
      <c r="AD313" s="57"/>
      <c r="AE313" s="57"/>
      <c r="AF313" s="57"/>
      <c r="AG313" s="57"/>
      <c r="AH313" s="57"/>
      <c r="AI313" s="57"/>
      <c r="AJ313" s="57"/>
      <c r="AK313" s="57"/>
      <c r="AL313" s="57"/>
      <c r="AM313" s="57"/>
      <c r="AN313" s="57"/>
      <c r="AO313" s="57"/>
      <c r="AP313" s="57"/>
      <c r="AQ313" s="57"/>
      <c r="AT313" s="57"/>
      <c r="AU313" s="57"/>
      <c r="AV313" s="57"/>
      <c r="AW313" s="57"/>
      <c r="AX313" s="57"/>
      <c r="AY313" s="57"/>
      <c r="AZ313" s="57"/>
      <c r="BA313" s="57"/>
      <c r="BB313" s="57"/>
      <c r="BC313" s="57"/>
      <c r="BD313" s="57"/>
      <c r="BE313" s="57"/>
      <c r="BF313" s="57"/>
      <c r="BG313" s="57"/>
      <c r="BH313" s="57"/>
      <c r="BI313" s="57"/>
      <c r="BJ313" s="57"/>
      <c r="BK313" s="57"/>
      <c r="BL313" s="57"/>
      <c r="BM313" s="57"/>
      <c r="BN313" s="57"/>
      <c r="BO313" s="57"/>
      <c r="BP313" s="57"/>
      <c r="BQ313" s="57"/>
      <c r="BR313" s="57"/>
    </row>
    <row r="314" spans="1:70" x14ac:dyDescent="0.25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  <c r="AC314" s="57"/>
      <c r="AD314" s="57"/>
      <c r="AE314" s="57"/>
      <c r="AF314" s="57"/>
      <c r="AG314" s="57"/>
      <c r="AH314" s="57"/>
      <c r="AI314" s="57"/>
      <c r="AJ314" s="57"/>
      <c r="AK314" s="57"/>
      <c r="AL314" s="57"/>
      <c r="AM314" s="57"/>
      <c r="AN314" s="57"/>
      <c r="AO314" s="57"/>
      <c r="AP314" s="57"/>
      <c r="AQ314" s="57"/>
      <c r="AT314" s="57"/>
      <c r="AU314" s="57"/>
      <c r="AV314" s="57"/>
      <c r="AW314" s="57"/>
      <c r="AX314" s="57"/>
      <c r="AY314" s="57"/>
      <c r="AZ314" s="57"/>
      <c r="BA314" s="57"/>
      <c r="BB314" s="57"/>
      <c r="BC314" s="57"/>
      <c r="BD314" s="57"/>
      <c r="BE314" s="57"/>
      <c r="BF314" s="57"/>
      <c r="BG314" s="57"/>
      <c r="BH314" s="57"/>
      <c r="BI314" s="57"/>
      <c r="BJ314" s="57"/>
      <c r="BK314" s="57"/>
      <c r="BL314" s="57"/>
      <c r="BM314" s="57"/>
      <c r="BN314" s="57"/>
      <c r="BO314" s="57"/>
      <c r="BP314" s="57"/>
      <c r="BQ314" s="57"/>
      <c r="BR314" s="57"/>
    </row>
    <row r="315" spans="1:70" x14ac:dyDescent="0.25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  <c r="AB315" s="57"/>
      <c r="AC315" s="57"/>
      <c r="AD315" s="57"/>
      <c r="AE315" s="57"/>
      <c r="AF315" s="57"/>
      <c r="AG315" s="57"/>
      <c r="AH315" s="57"/>
      <c r="AI315" s="57"/>
      <c r="AJ315" s="57"/>
      <c r="AK315" s="57"/>
      <c r="AL315" s="57"/>
      <c r="AM315" s="57"/>
      <c r="AN315" s="57"/>
      <c r="AO315" s="57"/>
      <c r="AP315" s="57"/>
      <c r="AQ315" s="57"/>
      <c r="AT315" s="57"/>
      <c r="AU315" s="57"/>
      <c r="AV315" s="57"/>
      <c r="AW315" s="57"/>
      <c r="AX315" s="57"/>
      <c r="AY315" s="57"/>
      <c r="AZ315" s="57"/>
      <c r="BA315" s="57"/>
      <c r="BB315" s="57"/>
      <c r="BC315" s="57"/>
      <c r="BD315" s="57"/>
      <c r="BE315" s="57"/>
      <c r="BF315" s="57"/>
      <c r="BG315" s="57"/>
      <c r="BH315" s="57"/>
      <c r="BI315" s="57"/>
      <c r="BJ315" s="57"/>
      <c r="BK315" s="57"/>
      <c r="BL315" s="57"/>
      <c r="BM315" s="57"/>
      <c r="BN315" s="57"/>
      <c r="BO315" s="57"/>
      <c r="BP315" s="57"/>
      <c r="BQ315" s="57"/>
      <c r="BR315" s="57"/>
    </row>
    <row r="316" spans="1:70" x14ac:dyDescent="0.25">
      <c r="A316" s="57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  <c r="AC316" s="57"/>
      <c r="AD316" s="57"/>
      <c r="AE316" s="57"/>
      <c r="AF316" s="57"/>
      <c r="AG316" s="57"/>
      <c r="AH316" s="57"/>
      <c r="AI316" s="57"/>
      <c r="AJ316" s="57"/>
      <c r="AK316" s="57"/>
      <c r="AL316" s="57"/>
      <c r="AM316" s="57"/>
      <c r="AN316" s="57"/>
      <c r="AO316" s="57"/>
      <c r="AP316" s="57"/>
      <c r="AQ316" s="57"/>
      <c r="AT316" s="57"/>
      <c r="AU316" s="57"/>
      <c r="AV316" s="57"/>
      <c r="AW316" s="57"/>
      <c r="AX316" s="57"/>
      <c r="AY316" s="57"/>
      <c r="AZ316" s="57"/>
      <c r="BA316" s="57"/>
      <c r="BB316" s="57"/>
      <c r="BC316" s="57"/>
      <c r="BD316" s="57"/>
      <c r="BE316" s="57"/>
      <c r="BF316" s="57"/>
      <c r="BG316" s="57"/>
      <c r="BH316" s="57"/>
      <c r="BI316" s="57"/>
      <c r="BJ316" s="57"/>
      <c r="BK316" s="57"/>
      <c r="BL316" s="57"/>
      <c r="BM316" s="57"/>
      <c r="BN316" s="57"/>
      <c r="BO316" s="57"/>
      <c r="BP316" s="57"/>
      <c r="BQ316" s="57"/>
      <c r="BR316" s="57"/>
    </row>
    <row r="317" spans="1:70" x14ac:dyDescent="0.25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  <c r="AB317" s="57"/>
      <c r="AC317" s="57"/>
      <c r="AD317" s="57"/>
      <c r="AE317" s="57"/>
      <c r="AF317" s="57"/>
      <c r="AG317" s="57"/>
      <c r="AH317" s="57"/>
      <c r="AI317" s="57"/>
      <c r="AJ317" s="57"/>
      <c r="AK317" s="57"/>
      <c r="AL317" s="57"/>
      <c r="AM317" s="57"/>
      <c r="AN317" s="57"/>
      <c r="AO317" s="57"/>
      <c r="AP317" s="57"/>
      <c r="AQ317" s="57"/>
      <c r="AT317" s="57"/>
      <c r="AU317" s="57"/>
      <c r="AV317" s="57"/>
      <c r="AW317" s="57"/>
      <c r="AX317" s="57"/>
      <c r="AY317" s="57"/>
      <c r="AZ317" s="57"/>
      <c r="BA317" s="57"/>
      <c r="BB317" s="57"/>
      <c r="BC317" s="57"/>
      <c r="BD317" s="57"/>
      <c r="BE317" s="57"/>
      <c r="BF317" s="57"/>
      <c r="BG317" s="57"/>
      <c r="BH317" s="57"/>
      <c r="BI317" s="57"/>
      <c r="BJ317" s="57"/>
      <c r="BK317" s="57"/>
      <c r="BL317" s="57"/>
      <c r="BM317" s="57"/>
      <c r="BN317" s="57"/>
      <c r="BO317" s="57"/>
      <c r="BP317" s="57"/>
      <c r="BQ317" s="57"/>
      <c r="BR317" s="57"/>
    </row>
    <row r="318" spans="1:70" x14ac:dyDescent="0.25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  <c r="AB318" s="57"/>
      <c r="AC318" s="57"/>
      <c r="AD318" s="57"/>
      <c r="AE318" s="57"/>
      <c r="AF318" s="57"/>
      <c r="AG318" s="57"/>
      <c r="AH318" s="57"/>
      <c r="AI318" s="57"/>
      <c r="AJ318" s="57"/>
      <c r="AK318" s="57"/>
      <c r="AL318" s="57"/>
      <c r="AM318" s="57"/>
      <c r="AN318" s="57"/>
      <c r="AO318" s="57"/>
      <c r="AP318" s="57"/>
      <c r="AQ318" s="57"/>
      <c r="AT318" s="57"/>
      <c r="AU318" s="57"/>
      <c r="AV318" s="57"/>
      <c r="AW318" s="57"/>
      <c r="AX318" s="57"/>
      <c r="AY318" s="57"/>
      <c r="AZ318" s="57"/>
      <c r="BA318" s="57"/>
      <c r="BB318" s="57"/>
      <c r="BC318" s="57"/>
      <c r="BD318" s="57"/>
      <c r="BE318" s="57"/>
      <c r="BF318" s="57"/>
      <c r="BG318" s="57"/>
      <c r="BH318" s="57"/>
      <c r="BI318" s="57"/>
      <c r="BJ318" s="57"/>
      <c r="BK318" s="57"/>
      <c r="BL318" s="57"/>
      <c r="BM318" s="57"/>
      <c r="BN318" s="57"/>
      <c r="BO318" s="57"/>
      <c r="BP318" s="57"/>
      <c r="BQ318" s="57"/>
      <c r="BR318" s="57"/>
    </row>
    <row r="319" spans="1:70" x14ac:dyDescent="0.25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  <c r="AB319" s="57"/>
      <c r="AC319" s="57"/>
      <c r="AD319" s="57"/>
      <c r="AE319" s="57"/>
      <c r="AF319" s="57"/>
      <c r="AG319" s="57"/>
      <c r="AH319" s="57"/>
      <c r="AI319" s="57"/>
      <c r="AJ319" s="57"/>
      <c r="AK319" s="57"/>
      <c r="AL319" s="57"/>
      <c r="AM319" s="57"/>
      <c r="AN319" s="57"/>
      <c r="AO319" s="57"/>
      <c r="AP319" s="57"/>
      <c r="AQ319" s="57"/>
      <c r="AT319" s="57"/>
      <c r="AU319" s="57"/>
      <c r="AV319" s="57"/>
      <c r="AW319" s="57"/>
      <c r="AX319" s="57"/>
      <c r="AY319" s="57"/>
      <c r="AZ319" s="57"/>
      <c r="BA319" s="57"/>
      <c r="BB319" s="57"/>
      <c r="BC319" s="57"/>
      <c r="BD319" s="57"/>
      <c r="BE319" s="57"/>
      <c r="BF319" s="57"/>
      <c r="BG319" s="57"/>
      <c r="BH319" s="57"/>
      <c r="BI319" s="57"/>
      <c r="BJ319" s="57"/>
      <c r="BK319" s="57"/>
      <c r="BL319" s="57"/>
      <c r="BM319" s="57"/>
      <c r="BN319" s="57"/>
      <c r="BO319" s="57"/>
      <c r="BP319" s="57"/>
      <c r="BQ319" s="57"/>
      <c r="BR319" s="57"/>
    </row>
    <row r="320" spans="1:70" x14ac:dyDescent="0.25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  <c r="AC320" s="57"/>
      <c r="AD320" s="57"/>
      <c r="AE320" s="57"/>
      <c r="AF320" s="57"/>
      <c r="AG320" s="57"/>
      <c r="AH320" s="57"/>
      <c r="AI320" s="57"/>
      <c r="AJ320" s="57"/>
      <c r="AK320" s="57"/>
      <c r="AL320" s="57"/>
      <c r="AM320" s="57"/>
      <c r="AN320" s="57"/>
      <c r="AO320" s="57"/>
      <c r="AP320" s="57"/>
      <c r="AQ320" s="57"/>
      <c r="AT320" s="57"/>
      <c r="AU320" s="57"/>
      <c r="AV320" s="57"/>
      <c r="AW320" s="57"/>
      <c r="AX320" s="57"/>
      <c r="AY320" s="57"/>
      <c r="AZ320" s="57"/>
      <c r="BA320" s="57"/>
      <c r="BB320" s="57"/>
      <c r="BC320" s="57"/>
      <c r="BD320" s="57"/>
      <c r="BE320" s="57"/>
      <c r="BF320" s="57"/>
      <c r="BG320" s="57"/>
      <c r="BH320" s="57"/>
      <c r="BI320" s="57"/>
      <c r="BJ320" s="57"/>
      <c r="BK320" s="57"/>
      <c r="BL320" s="57"/>
      <c r="BM320" s="57"/>
      <c r="BN320" s="57"/>
      <c r="BO320" s="57"/>
      <c r="BP320" s="57"/>
      <c r="BQ320" s="57"/>
      <c r="BR320" s="57"/>
    </row>
    <row r="321" spans="1:70" x14ac:dyDescent="0.25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  <c r="AB321" s="57"/>
      <c r="AC321" s="57"/>
      <c r="AD321" s="57"/>
      <c r="AE321" s="57"/>
      <c r="AF321" s="57"/>
      <c r="AG321" s="57"/>
      <c r="AH321" s="57"/>
      <c r="AI321" s="57"/>
      <c r="AJ321" s="57"/>
      <c r="AK321" s="57"/>
      <c r="AL321" s="57"/>
      <c r="AM321" s="57"/>
      <c r="AN321" s="57"/>
      <c r="AO321" s="57"/>
      <c r="AP321" s="57"/>
      <c r="AQ321" s="57"/>
      <c r="AT321" s="57"/>
      <c r="AU321" s="57"/>
      <c r="AV321" s="57"/>
      <c r="AW321" s="57"/>
      <c r="AX321" s="57"/>
      <c r="AY321" s="57"/>
      <c r="AZ321" s="57"/>
      <c r="BA321" s="57"/>
      <c r="BB321" s="57"/>
      <c r="BC321" s="57"/>
      <c r="BD321" s="57"/>
      <c r="BE321" s="57"/>
      <c r="BF321" s="57"/>
      <c r="BG321" s="57"/>
      <c r="BH321" s="57"/>
      <c r="BI321" s="57"/>
      <c r="BJ321" s="57"/>
      <c r="BK321" s="57"/>
      <c r="BL321" s="57"/>
      <c r="BM321" s="57"/>
      <c r="BN321" s="57"/>
      <c r="BO321" s="57"/>
      <c r="BP321" s="57"/>
      <c r="BQ321" s="57"/>
      <c r="BR321" s="57"/>
    </row>
    <row r="322" spans="1:70" x14ac:dyDescent="0.25">
      <c r="A322" s="57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  <c r="AC322" s="57"/>
      <c r="AD322" s="57"/>
      <c r="AE322" s="57"/>
      <c r="AF322" s="57"/>
      <c r="AG322" s="57"/>
      <c r="AH322" s="57"/>
      <c r="AI322" s="57"/>
      <c r="AJ322" s="57"/>
      <c r="AK322" s="57"/>
      <c r="AL322" s="57"/>
      <c r="AM322" s="57"/>
      <c r="AN322" s="57"/>
      <c r="AO322" s="57"/>
      <c r="AP322" s="57"/>
      <c r="AQ322" s="57"/>
      <c r="AT322" s="57"/>
      <c r="AU322" s="57"/>
      <c r="AV322" s="57"/>
      <c r="AW322" s="57"/>
      <c r="AX322" s="57"/>
      <c r="AY322" s="57"/>
      <c r="AZ322" s="57"/>
      <c r="BA322" s="57"/>
      <c r="BB322" s="57"/>
      <c r="BC322" s="57"/>
      <c r="BD322" s="57"/>
      <c r="BE322" s="57"/>
      <c r="BF322" s="57"/>
      <c r="BG322" s="57"/>
      <c r="BH322" s="57"/>
      <c r="BI322" s="57"/>
      <c r="BJ322" s="57"/>
      <c r="BK322" s="57"/>
      <c r="BL322" s="57"/>
      <c r="BM322" s="57"/>
      <c r="BN322" s="57"/>
      <c r="BO322" s="57"/>
      <c r="BP322" s="57"/>
      <c r="BQ322" s="57"/>
      <c r="BR322" s="57"/>
    </row>
    <row r="323" spans="1:70" x14ac:dyDescent="0.25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  <c r="AB323" s="57"/>
      <c r="AC323" s="57"/>
      <c r="AD323" s="57"/>
      <c r="AE323" s="57"/>
      <c r="AF323" s="57"/>
      <c r="AG323" s="57"/>
      <c r="AH323" s="57"/>
      <c r="AI323" s="57"/>
      <c r="AJ323" s="57"/>
      <c r="AK323" s="57"/>
      <c r="AL323" s="57"/>
      <c r="AM323" s="57"/>
      <c r="AN323" s="57"/>
      <c r="AO323" s="57"/>
      <c r="AP323" s="57"/>
      <c r="AQ323" s="57"/>
      <c r="AT323" s="57"/>
      <c r="AU323" s="57"/>
      <c r="AV323" s="57"/>
      <c r="AW323" s="57"/>
      <c r="AX323" s="57"/>
      <c r="AY323" s="57"/>
      <c r="AZ323" s="57"/>
      <c r="BA323" s="57"/>
      <c r="BB323" s="57"/>
      <c r="BC323" s="57"/>
      <c r="BD323" s="57"/>
      <c r="BE323" s="57"/>
      <c r="BF323" s="57"/>
      <c r="BG323" s="57"/>
      <c r="BH323" s="57"/>
      <c r="BI323" s="57"/>
      <c r="BJ323" s="57"/>
      <c r="BK323" s="57"/>
      <c r="BL323" s="57"/>
      <c r="BM323" s="57"/>
      <c r="BN323" s="57"/>
      <c r="BO323" s="57"/>
      <c r="BP323" s="57"/>
      <c r="BQ323" s="57"/>
      <c r="BR323" s="57"/>
    </row>
    <row r="324" spans="1:70" x14ac:dyDescent="0.25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  <c r="AC324" s="57"/>
      <c r="AD324" s="57"/>
      <c r="AE324" s="57"/>
      <c r="AF324" s="57"/>
      <c r="AG324" s="57"/>
      <c r="AH324" s="57"/>
      <c r="AI324" s="57"/>
      <c r="AJ324" s="57"/>
      <c r="AK324" s="57"/>
      <c r="AL324" s="57"/>
      <c r="AM324" s="57"/>
      <c r="AN324" s="57"/>
      <c r="AO324" s="57"/>
      <c r="AP324" s="57"/>
      <c r="AQ324" s="57"/>
      <c r="AT324" s="57"/>
      <c r="AU324" s="57"/>
      <c r="AV324" s="57"/>
      <c r="AW324" s="57"/>
      <c r="AX324" s="57"/>
      <c r="AY324" s="57"/>
      <c r="AZ324" s="57"/>
      <c r="BA324" s="57"/>
      <c r="BB324" s="57"/>
      <c r="BC324" s="57"/>
      <c r="BD324" s="57"/>
      <c r="BE324" s="57"/>
      <c r="BF324" s="57"/>
      <c r="BG324" s="57"/>
      <c r="BH324" s="57"/>
      <c r="BI324" s="57"/>
      <c r="BJ324" s="57"/>
      <c r="BK324" s="57"/>
      <c r="BL324" s="57"/>
      <c r="BM324" s="57"/>
      <c r="BN324" s="57"/>
      <c r="BO324" s="57"/>
      <c r="BP324" s="57"/>
      <c r="BQ324" s="57"/>
      <c r="BR324" s="57"/>
    </row>
    <row r="325" spans="1:70" x14ac:dyDescent="0.25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  <c r="AE325" s="57"/>
      <c r="AF325" s="57"/>
      <c r="AG325" s="57"/>
      <c r="AH325" s="57"/>
      <c r="AI325" s="57"/>
      <c r="AJ325" s="57"/>
      <c r="AK325" s="57"/>
      <c r="AL325" s="57"/>
      <c r="AM325" s="57"/>
      <c r="AN325" s="57"/>
      <c r="AO325" s="57"/>
      <c r="AP325" s="57"/>
      <c r="AQ325" s="57"/>
      <c r="AT325" s="57"/>
      <c r="AU325" s="57"/>
      <c r="AV325" s="57"/>
      <c r="AW325" s="57"/>
      <c r="AX325" s="57"/>
      <c r="AY325" s="57"/>
      <c r="AZ325" s="57"/>
      <c r="BA325" s="57"/>
      <c r="BB325" s="57"/>
      <c r="BC325" s="57"/>
      <c r="BD325" s="57"/>
      <c r="BE325" s="57"/>
      <c r="BF325" s="57"/>
      <c r="BG325" s="57"/>
      <c r="BH325" s="57"/>
      <c r="BI325" s="57"/>
      <c r="BJ325" s="57"/>
      <c r="BK325" s="57"/>
      <c r="BL325" s="57"/>
      <c r="BM325" s="57"/>
      <c r="BN325" s="57"/>
      <c r="BO325" s="57"/>
      <c r="BP325" s="57"/>
      <c r="BQ325" s="57"/>
      <c r="BR325" s="57"/>
    </row>
    <row r="326" spans="1:70" x14ac:dyDescent="0.25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  <c r="AC326" s="57"/>
      <c r="AD326" s="57"/>
      <c r="AE326" s="57"/>
      <c r="AF326" s="57"/>
      <c r="AG326" s="57"/>
      <c r="AH326" s="57"/>
      <c r="AI326" s="57"/>
      <c r="AJ326" s="57"/>
      <c r="AK326" s="57"/>
      <c r="AL326" s="57"/>
      <c r="AM326" s="57"/>
      <c r="AN326" s="57"/>
      <c r="AO326" s="57"/>
      <c r="AP326" s="57"/>
      <c r="AQ326" s="57"/>
      <c r="AT326" s="57"/>
      <c r="AU326" s="57"/>
      <c r="AV326" s="57"/>
      <c r="AW326" s="57"/>
      <c r="AX326" s="57"/>
      <c r="AY326" s="57"/>
      <c r="AZ326" s="57"/>
      <c r="BA326" s="57"/>
      <c r="BB326" s="57"/>
      <c r="BC326" s="57"/>
      <c r="BD326" s="57"/>
      <c r="BE326" s="57"/>
      <c r="BF326" s="57"/>
      <c r="BG326" s="57"/>
      <c r="BH326" s="57"/>
      <c r="BI326" s="57"/>
      <c r="BJ326" s="57"/>
      <c r="BK326" s="57"/>
      <c r="BL326" s="57"/>
      <c r="BM326" s="57"/>
      <c r="BN326" s="57"/>
      <c r="BO326" s="57"/>
      <c r="BP326" s="57"/>
      <c r="BQ326" s="57"/>
      <c r="BR326" s="57"/>
    </row>
    <row r="327" spans="1:70" x14ac:dyDescent="0.25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  <c r="AB327" s="57"/>
      <c r="AC327" s="57"/>
      <c r="AD327" s="57"/>
      <c r="AE327" s="57"/>
      <c r="AF327" s="57"/>
      <c r="AG327" s="57"/>
      <c r="AH327" s="57"/>
      <c r="AI327" s="57"/>
      <c r="AJ327" s="57"/>
      <c r="AK327" s="57"/>
      <c r="AL327" s="57"/>
      <c r="AM327" s="57"/>
      <c r="AN327" s="57"/>
      <c r="AO327" s="57"/>
      <c r="AP327" s="57"/>
      <c r="AQ327" s="57"/>
      <c r="AT327" s="57"/>
      <c r="AU327" s="57"/>
      <c r="AV327" s="57"/>
      <c r="AW327" s="57"/>
      <c r="AX327" s="57"/>
      <c r="AY327" s="57"/>
      <c r="AZ327" s="57"/>
      <c r="BA327" s="57"/>
      <c r="BB327" s="57"/>
      <c r="BC327" s="57"/>
      <c r="BD327" s="57"/>
      <c r="BE327" s="57"/>
      <c r="BF327" s="57"/>
      <c r="BG327" s="57"/>
      <c r="BH327" s="57"/>
      <c r="BI327" s="57"/>
      <c r="BJ327" s="57"/>
      <c r="BK327" s="57"/>
      <c r="BL327" s="57"/>
      <c r="BM327" s="57"/>
      <c r="BN327" s="57"/>
      <c r="BO327" s="57"/>
      <c r="BP327" s="57"/>
      <c r="BQ327" s="57"/>
      <c r="BR327" s="57"/>
    </row>
    <row r="328" spans="1:70" x14ac:dyDescent="0.25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  <c r="AB328" s="57"/>
      <c r="AC328" s="57"/>
      <c r="AD328" s="57"/>
      <c r="AE328" s="57"/>
      <c r="AF328" s="57"/>
      <c r="AG328" s="57"/>
      <c r="AH328" s="57"/>
      <c r="AI328" s="57"/>
      <c r="AJ328" s="57"/>
      <c r="AK328" s="57"/>
      <c r="AL328" s="57"/>
      <c r="AM328" s="57"/>
      <c r="AN328" s="57"/>
      <c r="AO328" s="57"/>
      <c r="AP328" s="57"/>
      <c r="AQ328" s="57"/>
      <c r="AT328" s="57"/>
      <c r="AU328" s="57"/>
      <c r="AV328" s="57"/>
      <c r="AW328" s="57"/>
      <c r="AX328" s="57"/>
      <c r="AY328" s="57"/>
      <c r="AZ328" s="57"/>
      <c r="BA328" s="57"/>
      <c r="BB328" s="57"/>
      <c r="BC328" s="57"/>
      <c r="BD328" s="57"/>
      <c r="BE328" s="57"/>
      <c r="BF328" s="57"/>
      <c r="BG328" s="57"/>
      <c r="BH328" s="57"/>
      <c r="BI328" s="57"/>
      <c r="BJ328" s="57"/>
      <c r="BK328" s="57"/>
      <c r="BL328" s="57"/>
      <c r="BM328" s="57"/>
      <c r="BN328" s="57"/>
      <c r="BO328" s="57"/>
      <c r="BP328" s="57"/>
      <c r="BQ328" s="57"/>
      <c r="BR328" s="57"/>
    </row>
    <row r="329" spans="1:70" x14ac:dyDescent="0.25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  <c r="AB329" s="57"/>
      <c r="AC329" s="57"/>
      <c r="AD329" s="57"/>
      <c r="AE329" s="57"/>
      <c r="AF329" s="57"/>
      <c r="AG329" s="57"/>
      <c r="AH329" s="57"/>
      <c r="AI329" s="57"/>
      <c r="AJ329" s="57"/>
      <c r="AK329" s="57"/>
      <c r="AL329" s="57"/>
      <c r="AM329" s="57"/>
      <c r="AN329" s="57"/>
      <c r="AO329" s="57"/>
      <c r="AP329" s="57"/>
      <c r="AQ329" s="57"/>
      <c r="AT329" s="57"/>
      <c r="AU329" s="57"/>
      <c r="AV329" s="57"/>
      <c r="AW329" s="57"/>
      <c r="AX329" s="57"/>
      <c r="AY329" s="57"/>
      <c r="AZ329" s="57"/>
      <c r="BA329" s="57"/>
      <c r="BB329" s="57"/>
      <c r="BC329" s="57"/>
      <c r="BD329" s="57"/>
      <c r="BE329" s="57"/>
      <c r="BF329" s="57"/>
      <c r="BG329" s="57"/>
      <c r="BH329" s="57"/>
      <c r="BI329" s="57"/>
      <c r="BJ329" s="57"/>
      <c r="BK329" s="57"/>
      <c r="BL329" s="57"/>
      <c r="BM329" s="57"/>
      <c r="BN329" s="57"/>
      <c r="BO329" s="57"/>
      <c r="BP329" s="57"/>
      <c r="BQ329" s="57"/>
      <c r="BR329" s="57"/>
    </row>
    <row r="330" spans="1:70" x14ac:dyDescent="0.25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  <c r="AB330" s="57"/>
      <c r="AC330" s="57"/>
      <c r="AD330" s="57"/>
      <c r="AE330" s="57"/>
      <c r="AF330" s="57"/>
      <c r="AG330" s="57"/>
      <c r="AH330" s="57"/>
      <c r="AI330" s="57"/>
      <c r="AJ330" s="57"/>
      <c r="AK330" s="57"/>
      <c r="AL330" s="57"/>
      <c r="AM330" s="57"/>
      <c r="AN330" s="57"/>
      <c r="AO330" s="57"/>
      <c r="AP330" s="57"/>
      <c r="AQ330" s="57"/>
      <c r="AT330" s="57"/>
      <c r="AU330" s="57"/>
      <c r="AV330" s="57"/>
      <c r="AW330" s="57"/>
      <c r="AX330" s="57"/>
      <c r="AY330" s="57"/>
      <c r="AZ330" s="57"/>
      <c r="BA330" s="57"/>
      <c r="BB330" s="57"/>
      <c r="BC330" s="57"/>
      <c r="BD330" s="57"/>
      <c r="BE330" s="57"/>
      <c r="BF330" s="57"/>
      <c r="BG330" s="57"/>
      <c r="BH330" s="57"/>
      <c r="BI330" s="57"/>
      <c r="BJ330" s="57"/>
      <c r="BK330" s="57"/>
      <c r="BL330" s="57"/>
      <c r="BM330" s="57"/>
      <c r="BN330" s="57"/>
      <c r="BO330" s="57"/>
      <c r="BP330" s="57"/>
      <c r="BQ330" s="57"/>
      <c r="BR330" s="57"/>
    </row>
    <row r="331" spans="1:70" x14ac:dyDescent="0.25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57"/>
      <c r="AB331" s="57"/>
      <c r="AC331" s="57"/>
      <c r="AD331" s="57"/>
      <c r="AE331" s="57"/>
      <c r="AF331" s="57"/>
      <c r="AG331" s="57"/>
      <c r="AH331" s="57"/>
      <c r="AI331" s="57"/>
      <c r="AJ331" s="57"/>
      <c r="AK331" s="57"/>
      <c r="AL331" s="57"/>
      <c r="AM331" s="57"/>
      <c r="AN331" s="57"/>
      <c r="AO331" s="57"/>
      <c r="AP331" s="57"/>
      <c r="AQ331" s="57"/>
      <c r="AT331" s="57"/>
      <c r="AU331" s="57"/>
      <c r="AV331" s="57"/>
      <c r="AW331" s="57"/>
      <c r="AX331" s="57"/>
      <c r="AY331" s="57"/>
      <c r="AZ331" s="57"/>
      <c r="BA331" s="57"/>
      <c r="BB331" s="57"/>
      <c r="BC331" s="57"/>
      <c r="BD331" s="57"/>
      <c r="BE331" s="57"/>
      <c r="BF331" s="57"/>
      <c r="BG331" s="57"/>
      <c r="BH331" s="57"/>
      <c r="BI331" s="57"/>
      <c r="BJ331" s="57"/>
      <c r="BK331" s="57"/>
      <c r="BL331" s="57"/>
      <c r="BM331" s="57"/>
      <c r="BN331" s="57"/>
      <c r="BO331" s="57"/>
      <c r="BP331" s="57"/>
      <c r="BQ331" s="57"/>
      <c r="BR331" s="57"/>
    </row>
    <row r="332" spans="1:70" x14ac:dyDescent="0.25">
      <c r="A332" s="57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  <c r="AB332" s="57"/>
      <c r="AC332" s="57"/>
      <c r="AD332" s="57"/>
      <c r="AE332" s="57"/>
      <c r="AF332" s="57"/>
      <c r="AG332" s="57"/>
      <c r="AH332" s="57"/>
      <c r="AI332" s="57"/>
      <c r="AJ332" s="57"/>
      <c r="AK332" s="57"/>
      <c r="AL332" s="57"/>
      <c r="AM332" s="57"/>
      <c r="AN332" s="57"/>
      <c r="AO332" s="57"/>
      <c r="AP332" s="57"/>
      <c r="AQ332" s="57"/>
      <c r="AT332" s="57"/>
      <c r="AU332" s="57"/>
      <c r="AV332" s="57"/>
      <c r="AW332" s="57"/>
      <c r="AX332" s="57"/>
      <c r="AY332" s="57"/>
      <c r="AZ332" s="57"/>
      <c r="BA332" s="57"/>
      <c r="BB332" s="57"/>
      <c r="BC332" s="57"/>
      <c r="BD332" s="57"/>
      <c r="BE332" s="57"/>
      <c r="BF332" s="57"/>
      <c r="BG332" s="57"/>
      <c r="BH332" s="57"/>
      <c r="BI332" s="57"/>
      <c r="BJ332" s="57"/>
      <c r="BK332" s="57"/>
      <c r="BL332" s="57"/>
      <c r="BM332" s="57"/>
      <c r="BN332" s="57"/>
      <c r="BO332" s="57"/>
      <c r="BP332" s="57"/>
      <c r="BQ332" s="57"/>
      <c r="BR332" s="57"/>
    </row>
    <row r="333" spans="1:70" x14ac:dyDescent="0.25">
      <c r="A333" s="57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  <c r="AB333" s="57"/>
      <c r="AC333" s="57"/>
      <c r="AD333" s="57"/>
      <c r="AE333" s="57"/>
      <c r="AF333" s="57"/>
      <c r="AG333" s="57"/>
      <c r="AH333" s="57"/>
      <c r="AI333" s="57"/>
      <c r="AJ333" s="57"/>
      <c r="AK333" s="57"/>
      <c r="AL333" s="57"/>
      <c r="AM333" s="57"/>
      <c r="AN333" s="57"/>
      <c r="AO333" s="57"/>
      <c r="AP333" s="57"/>
      <c r="AQ333" s="57"/>
      <c r="AT333" s="57"/>
      <c r="AU333" s="57"/>
      <c r="AV333" s="57"/>
      <c r="AW333" s="57"/>
      <c r="AX333" s="57"/>
      <c r="AY333" s="57"/>
      <c r="AZ333" s="57"/>
      <c r="BA333" s="57"/>
      <c r="BB333" s="57"/>
      <c r="BC333" s="57"/>
      <c r="BD333" s="57"/>
      <c r="BE333" s="57"/>
      <c r="BF333" s="57"/>
      <c r="BG333" s="57"/>
      <c r="BH333" s="57"/>
      <c r="BI333" s="57"/>
      <c r="BJ333" s="57"/>
      <c r="BK333" s="57"/>
      <c r="BL333" s="57"/>
      <c r="BM333" s="57"/>
      <c r="BN333" s="57"/>
      <c r="BO333" s="57"/>
      <c r="BP333" s="57"/>
      <c r="BQ333" s="57"/>
      <c r="BR333" s="57"/>
    </row>
    <row r="334" spans="1:70" x14ac:dyDescent="0.25">
      <c r="A334" s="57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  <c r="AB334" s="57"/>
      <c r="AC334" s="57"/>
      <c r="AD334" s="57"/>
      <c r="AE334" s="57"/>
      <c r="AF334" s="57"/>
      <c r="AG334" s="57"/>
      <c r="AH334" s="57"/>
      <c r="AI334" s="57"/>
      <c r="AJ334" s="57"/>
      <c r="AK334" s="57"/>
      <c r="AL334" s="57"/>
      <c r="AM334" s="57"/>
      <c r="AN334" s="57"/>
      <c r="AO334" s="57"/>
      <c r="AP334" s="57"/>
      <c r="AQ334" s="57"/>
      <c r="AT334" s="57"/>
      <c r="AU334" s="57"/>
      <c r="AV334" s="57"/>
      <c r="AW334" s="57"/>
      <c r="AX334" s="57"/>
      <c r="AY334" s="57"/>
      <c r="AZ334" s="57"/>
      <c r="BA334" s="57"/>
      <c r="BB334" s="57"/>
      <c r="BC334" s="57"/>
      <c r="BD334" s="57"/>
      <c r="BE334" s="57"/>
      <c r="BF334" s="57"/>
      <c r="BG334" s="57"/>
      <c r="BH334" s="57"/>
      <c r="BI334" s="57"/>
      <c r="BJ334" s="57"/>
      <c r="BK334" s="57"/>
      <c r="BL334" s="57"/>
      <c r="BM334" s="57"/>
      <c r="BN334" s="57"/>
      <c r="BO334" s="57"/>
      <c r="BP334" s="57"/>
      <c r="BQ334" s="57"/>
      <c r="BR334" s="57"/>
    </row>
    <row r="335" spans="1:70" x14ac:dyDescent="0.25">
      <c r="A335" s="57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  <c r="AB335" s="57"/>
      <c r="AC335" s="57"/>
      <c r="AD335" s="57"/>
      <c r="AE335" s="57"/>
      <c r="AF335" s="57"/>
      <c r="AG335" s="57"/>
      <c r="AH335" s="57"/>
      <c r="AI335" s="57"/>
      <c r="AJ335" s="57"/>
      <c r="AK335" s="57"/>
      <c r="AL335" s="57"/>
      <c r="AM335" s="57"/>
      <c r="AN335" s="57"/>
      <c r="AO335" s="57"/>
      <c r="AP335" s="57"/>
      <c r="AQ335" s="57"/>
      <c r="AT335" s="57"/>
      <c r="AU335" s="57"/>
      <c r="AV335" s="57"/>
      <c r="AW335" s="57"/>
      <c r="AX335" s="57"/>
      <c r="AY335" s="57"/>
      <c r="AZ335" s="57"/>
      <c r="BA335" s="57"/>
      <c r="BB335" s="57"/>
      <c r="BC335" s="57"/>
      <c r="BD335" s="57"/>
      <c r="BE335" s="57"/>
      <c r="BF335" s="57"/>
      <c r="BG335" s="57"/>
      <c r="BH335" s="57"/>
      <c r="BI335" s="57"/>
      <c r="BJ335" s="57"/>
      <c r="BK335" s="57"/>
      <c r="BL335" s="57"/>
      <c r="BM335" s="57"/>
      <c r="BN335" s="57"/>
      <c r="BO335" s="57"/>
      <c r="BP335" s="57"/>
      <c r="BQ335" s="57"/>
      <c r="BR335" s="57"/>
    </row>
    <row r="336" spans="1:70" x14ac:dyDescent="0.25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  <c r="AB336" s="57"/>
      <c r="AC336" s="57"/>
      <c r="AD336" s="57"/>
      <c r="AE336" s="57"/>
      <c r="AF336" s="57"/>
      <c r="AG336" s="57"/>
      <c r="AH336" s="57"/>
      <c r="AI336" s="57"/>
      <c r="AJ336" s="57"/>
      <c r="AK336" s="57"/>
      <c r="AL336" s="57"/>
      <c r="AM336" s="57"/>
      <c r="AN336" s="57"/>
      <c r="AO336" s="57"/>
      <c r="AP336" s="57"/>
      <c r="AQ336" s="57"/>
      <c r="AT336" s="57"/>
      <c r="AU336" s="57"/>
      <c r="AV336" s="57"/>
      <c r="AW336" s="57"/>
      <c r="AX336" s="57"/>
      <c r="AY336" s="57"/>
      <c r="AZ336" s="57"/>
      <c r="BA336" s="57"/>
      <c r="BB336" s="57"/>
      <c r="BC336" s="57"/>
      <c r="BD336" s="57"/>
      <c r="BE336" s="57"/>
      <c r="BF336" s="57"/>
      <c r="BG336" s="57"/>
      <c r="BH336" s="57"/>
      <c r="BI336" s="57"/>
      <c r="BJ336" s="57"/>
      <c r="BK336" s="57"/>
      <c r="BL336" s="57"/>
      <c r="BM336" s="57"/>
      <c r="BN336" s="57"/>
      <c r="BO336" s="57"/>
      <c r="BP336" s="57"/>
      <c r="BQ336" s="57"/>
      <c r="BR336" s="57"/>
    </row>
    <row r="337" spans="1:70" x14ac:dyDescent="0.25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  <c r="AB337" s="57"/>
      <c r="AC337" s="57"/>
      <c r="AD337" s="57"/>
      <c r="AE337" s="57"/>
      <c r="AF337" s="57"/>
      <c r="AG337" s="57"/>
      <c r="AH337" s="57"/>
      <c r="AI337" s="57"/>
      <c r="AJ337" s="57"/>
      <c r="AK337" s="57"/>
      <c r="AL337" s="57"/>
      <c r="AM337" s="57"/>
      <c r="AN337" s="57"/>
      <c r="AO337" s="57"/>
      <c r="AP337" s="57"/>
      <c r="AQ337" s="57"/>
      <c r="AT337" s="57"/>
      <c r="AU337" s="57"/>
      <c r="AV337" s="57"/>
      <c r="AW337" s="57"/>
      <c r="AX337" s="57"/>
      <c r="AY337" s="57"/>
      <c r="AZ337" s="57"/>
      <c r="BA337" s="57"/>
      <c r="BB337" s="57"/>
      <c r="BC337" s="57"/>
      <c r="BD337" s="57"/>
      <c r="BE337" s="57"/>
      <c r="BF337" s="57"/>
      <c r="BG337" s="57"/>
      <c r="BH337" s="57"/>
      <c r="BI337" s="57"/>
      <c r="BJ337" s="57"/>
      <c r="BK337" s="57"/>
      <c r="BL337" s="57"/>
      <c r="BM337" s="57"/>
      <c r="BN337" s="57"/>
      <c r="BO337" s="57"/>
      <c r="BP337" s="57"/>
      <c r="BQ337" s="57"/>
      <c r="BR337" s="57"/>
    </row>
    <row r="338" spans="1:70" x14ac:dyDescent="0.25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  <c r="AB338" s="57"/>
      <c r="AC338" s="57"/>
      <c r="AD338" s="57"/>
      <c r="AE338" s="57"/>
      <c r="AF338" s="57"/>
      <c r="AG338" s="57"/>
      <c r="AH338" s="57"/>
      <c r="AI338" s="57"/>
      <c r="AJ338" s="57"/>
      <c r="AK338" s="57"/>
      <c r="AL338" s="57"/>
      <c r="AM338" s="57"/>
      <c r="AN338" s="57"/>
      <c r="AO338" s="57"/>
      <c r="AP338" s="57"/>
      <c r="AQ338" s="57"/>
      <c r="AT338" s="57"/>
      <c r="AU338" s="57"/>
      <c r="AV338" s="57"/>
      <c r="AW338" s="57"/>
      <c r="AX338" s="57"/>
      <c r="AY338" s="57"/>
      <c r="AZ338" s="57"/>
      <c r="BA338" s="57"/>
      <c r="BB338" s="57"/>
      <c r="BC338" s="57"/>
      <c r="BD338" s="57"/>
      <c r="BE338" s="57"/>
      <c r="BF338" s="57"/>
      <c r="BG338" s="57"/>
      <c r="BH338" s="57"/>
      <c r="BI338" s="57"/>
      <c r="BJ338" s="57"/>
      <c r="BK338" s="57"/>
      <c r="BL338" s="57"/>
      <c r="BM338" s="57"/>
      <c r="BN338" s="57"/>
      <c r="BO338" s="57"/>
      <c r="BP338" s="57"/>
      <c r="BQ338" s="57"/>
      <c r="BR338" s="57"/>
    </row>
    <row r="339" spans="1:70" x14ac:dyDescent="0.25">
      <c r="A339" s="57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  <c r="AB339" s="57"/>
      <c r="AC339" s="57"/>
      <c r="AD339" s="57"/>
      <c r="AE339" s="57"/>
      <c r="AF339" s="57"/>
      <c r="AG339" s="57"/>
      <c r="AH339" s="57"/>
      <c r="AI339" s="57"/>
      <c r="AJ339" s="57"/>
      <c r="AK339" s="57"/>
      <c r="AL339" s="57"/>
      <c r="AM339" s="57"/>
      <c r="AN339" s="57"/>
      <c r="AO339" s="57"/>
      <c r="AP339" s="57"/>
      <c r="AQ339" s="57"/>
      <c r="AT339" s="57"/>
      <c r="AU339" s="57"/>
      <c r="AV339" s="57"/>
      <c r="AW339" s="57"/>
      <c r="AX339" s="57"/>
      <c r="AY339" s="57"/>
      <c r="AZ339" s="57"/>
      <c r="BA339" s="57"/>
      <c r="BB339" s="57"/>
      <c r="BC339" s="57"/>
      <c r="BD339" s="57"/>
      <c r="BE339" s="57"/>
      <c r="BF339" s="57"/>
      <c r="BG339" s="57"/>
      <c r="BH339" s="57"/>
      <c r="BI339" s="57"/>
      <c r="BJ339" s="57"/>
      <c r="BK339" s="57"/>
      <c r="BL339" s="57"/>
      <c r="BM339" s="57"/>
      <c r="BN339" s="57"/>
      <c r="BO339" s="57"/>
      <c r="BP339" s="57"/>
      <c r="BQ339" s="57"/>
      <c r="BR339" s="57"/>
    </row>
    <row r="340" spans="1:70" x14ac:dyDescent="0.25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  <c r="AB340" s="57"/>
      <c r="AC340" s="57"/>
      <c r="AD340" s="57"/>
      <c r="AE340" s="57"/>
      <c r="AF340" s="57"/>
      <c r="AG340" s="57"/>
      <c r="AH340" s="57"/>
      <c r="AI340" s="57"/>
      <c r="AJ340" s="57"/>
      <c r="AK340" s="57"/>
      <c r="AL340" s="57"/>
      <c r="AM340" s="57"/>
      <c r="AN340" s="57"/>
      <c r="AO340" s="57"/>
      <c r="AP340" s="57"/>
      <c r="AQ340" s="57"/>
      <c r="AT340" s="57"/>
      <c r="AU340" s="57"/>
      <c r="AV340" s="57"/>
      <c r="AW340" s="57"/>
      <c r="AX340" s="57"/>
      <c r="AY340" s="57"/>
      <c r="AZ340" s="57"/>
      <c r="BA340" s="57"/>
      <c r="BB340" s="57"/>
      <c r="BC340" s="57"/>
      <c r="BD340" s="57"/>
      <c r="BE340" s="57"/>
      <c r="BF340" s="57"/>
      <c r="BG340" s="57"/>
      <c r="BH340" s="57"/>
      <c r="BI340" s="57"/>
      <c r="BJ340" s="57"/>
      <c r="BK340" s="57"/>
      <c r="BL340" s="57"/>
      <c r="BM340" s="57"/>
      <c r="BN340" s="57"/>
      <c r="BO340" s="57"/>
      <c r="BP340" s="57"/>
      <c r="BQ340" s="57"/>
      <c r="BR340" s="57"/>
    </row>
    <row r="341" spans="1:70" x14ac:dyDescent="0.25">
      <c r="A341" s="57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57"/>
      <c r="AB341" s="57"/>
      <c r="AC341" s="57"/>
      <c r="AD341" s="57"/>
      <c r="AE341" s="57"/>
      <c r="AF341" s="57"/>
      <c r="AG341" s="57"/>
      <c r="AH341" s="57"/>
      <c r="AI341" s="57"/>
      <c r="AJ341" s="57"/>
      <c r="AK341" s="57"/>
      <c r="AL341" s="57"/>
      <c r="AM341" s="57"/>
      <c r="AN341" s="57"/>
      <c r="AO341" s="57"/>
      <c r="AP341" s="57"/>
      <c r="AQ341" s="57"/>
      <c r="AT341" s="57"/>
      <c r="AU341" s="57"/>
      <c r="AV341" s="57"/>
      <c r="AW341" s="57"/>
      <c r="AX341" s="57"/>
      <c r="AY341" s="57"/>
      <c r="AZ341" s="57"/>
      <c r="BA341" s="57"/>
      <c r="BB341" s="57"/>
      <c r="BC341" s="57"/>
      <c r="BD341" s="57"/>
      <c r="BE341" s="57"/>
      <c r="BF341" s="57"/>
      <c r="BG341" s="57"/>
      <c r="BH341" s="57"/>
      <c r="BI341" s="57"/>
      <c r="BJ341" s="57"/>
      <c r="BK341" s="57"/>
      <c r="BL341" s="57"/>
      <c r="BM341" s="57"/>
      <c r="BN341" s="57"/>
      <c r="BO341" s="57"/>
      <c r="BP341" s="57"/>
      <c r="BQ341" s="57"/>
      <c r="BR341" s="57"/>
    </row>
    <row r="342" spans="1:70" x14ac:dyDescent="0.25">
      <c r="A342" s="57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  <c r="AB342" s="57"/>
      <c r="AC342" s="57"/>
      <c r="AD342" s="57"/>
      <c r="AE342" s="57"/>
      <c r="AF342" s="57"/>
      <c r="AG342" s="57"/>
      <c r="AH342" s="57"/>
      <c r="AI342" s="57"/>
      <c r="AJ342" s="57"/>
      <c r="AK342" s="57"/>
      <c r="AL342" s="57"/>
      <c r="AM342" s="57"/>
      <c r="AN342" s="57"/>
      <c r="AO342" s="57"/>
      <c r="AP342" s="57"/>
      <c r="AQ342" s="57"/>
      <c r="AT342" s="57"/>
      <c r="AU342" s="57"/>
      <c r="AV342" s="57"/>
      <c r="AW342" s="57"/>
      <c r="AX342" s="57"/>
      <c r="AY342" s="57"/>
      <c r="AZ342" s="57"/>
      <c r="BA342" s="57"/>
      <c r="BB342" s="57"/>
      <c r="BC342" s="57"/>
      <c r="BD342" s="57"/>
      <c r="BE342" s="57"/>
      <c r="BF342" s="57"/>
      <c r="BG342" s="57"/>
      <c r="BH342" s="57"/>
      <c r="BI342" s="57"/>
      <c r="BJ342" s="57"/>
      <c r="BK342" s="57"/>
      <c r="BL342" s="57"/>
      <c r="BM342" s="57"/>
      <c r="BN342" s="57"/>
      <c r="BO342" s="57"/>
      <c r="BP342" s="57"/>
      <c r="BQ342" s="57"/>
      <c r="BR342" s="57"/>
    </row>
    <row r="343" spans="1:70" x14ac:dyDescent="0.25">
      <c r="A343" s="57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  <c r="AB343" s="57"/>
      <c r="AC343" s="57"/>
      <c r="AD343" s="57"/>
      <c r="AE343" s="57"/>
      <c r="AF343" s="57"/>
      <c r="AG343" s="57"/>
      <c r="AH343" s="57"/>
      <c r="AI343" s="57"/>
      <c r="AJ343" s="57"/>
      <c r="AK343" s="57"/>
      <c r="AL343" s="57"/>
      <c r="AM343" s="57"/>
      <c r="AN343" s="57"/>
      <c r="AO343" s="57"/>
      <c r="AP343" s="57"/>
      <c r="AQ343" s="57"/>
      <c r="AT343" s="57"/>
      <c r="AU343" s="57"/>
      <c r="AV343" s="57"/>
      <c r="AW343" s="57"/>
      <c r="AX343" s="57"/>
      <c r="AY343" s="57"/>
      <c r="AZ343" s="57"/>
      <c r="BA343" s="57"/>
      <c r="BB343" s="57"/>
      <c r="BC343" s="57"/>
      <c r="BD343" s="57"/>
      <c r="BE343" s="57"/>
      <c r="BF343" s="57"/>
      <c r="BG343" s="57"/>
      <c r="BH343" s="57"/>
      <c r="BI343" s="57"/>
      <c r="BJ343" s="57"/>
      <c r="BK343" s="57"/>
      <c r="BL343" s="57"/>
      <c r="BM343" s="57"/>
      <c r="BN343" s="57"/>
      <c r="BO343" s="57"/>
      <c r="BP343" s="57"/>
      <c r="BQ343" s="57"/>
      <c r="BR343" s="57"/>
    </row>
    <row r="344" spans="1:70" x14ac:dyDescent="0.25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  <c r="AB344" s="57"/>
      <c r="AC344" s="57"/>
      <c r="AD344" s="57"/>
      <c r="AE344" s="57"/>
      <c r="AF344" s="57"/>
      <c r="AG344" s="57"/>
      <c r="AH344" s="57"/>
      <c r="AI344" s="57"/>
      <c r="AJ344" s="57"/>
      <c r="AK344" s="57"/>
      <c r="AL344" s="57"/>
      <c r="AM344" s="57"/>
      <c r="AN344" s="57"/>
      <c r="AO344" s="57"/>
      <c r="AP344" s="57"/>
      <c r="AQ344" s="57"/>
      <c r="AT344" s="57"/>
      <c r="AU344" s="57"/>
      <c r="AV344" s="57"/>
      <c r="AW344" s="57"/>
      <c r="AX344" s="57"/>
      <c r="AY344" s="57"/>
      <c r="AZ344" s="57"/>
      <c r="BA344" s="57"/>
      <c r="BB344" s="57"/>
      <c r="BC344" s="57"/>
      <c r="BD344" s="57"/>
      <c r="BE344" s="57"/>
      <c r="BF344" s="57"/>
      <c r="BG344" s="57"/>
      <c r="BH344" s="57"/>
      <c r="BI344" s="57"/>
      <c r="BJ344" s="57"/>
      <c r="BK344" s="57"/>
      <c r="BL344" s="57"/>
      <c r="BM344" s="57"/>
      <c r="BN344" s="57"/>
      <c r="BO344" s="57"/>
      <c r="BP344" s="57"/>
      <c r="BQ344" s="57"/>
      <c r="BR344" s="57"/>
    </row>
    <row r="345" spans="1:70" x14ac:dyDescent="0.25">
      <c r="A345" s="57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  <c r="AB345" s="57"/>
      <c r="AC345" s="57"/>
      <c r="AD345" s="57"/>
      <c r="AE345" s="57"/>
      <c r="AF345" s="57"/>
      <c r="AG345" s="57"/>
      <c r="AH345" s="57"/>
      <c r="AI345" s="57"/>
      <c r="AJ345" s="57"/>
      <c r="AK345" s="57"/>
      <c r="AL345" s="57"/>
      <c r="AM345" s="57"/>
      <c r="AN345" s="57"/>
      <c r="AO345" s="57"/>
      <c r="AP345" s="57"/>
      <c r="AQ345" s="57"/>
      <c r="AT345" s="57"/>
      <c r="AU345" s="57"/>
      <c r="AV345" s="57"/>
      <c r="AW345" s="57"/>
      <c r="AX345" s="57"/>
      <c r="AY345" s="57"/>
      <c r="AZ345" s="57"/>
      <c r="BA345" s="57"/>
      <c r="BB345" s="57"/>
      <c r="BC345" s="57"/>
      <c r="BD345" s="57"/>
      <c r="BE345" s="57"/>
      <c r="BF345" s="57"/>
      <c r="BG345" s="57"/>
      <c r="BH345" s="57"/>
      <c r="BI345" s="57"/>
      <c r="BJ345" s="57"/>
      <c r="BK345" s="57"/>
      <c r="BL345" s="57"/>
      <c r="BM345" s="57"/>
      <c r="BN345" s="57"/>
      <c r="BO345" s="57"/>
      <c r="BP345" s="57"/>
      <c r="BQ345" s="57"/>
      <c r="BR345" s="57"/>
    </row>
    <row r="346" spans="1:70" x14ac:dyDescent="0.25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  <c r="AB346" s="57"/>
      <c r="AC346" s="57"/>
      <c r="AD346" s="57"/>
      <c r="AE346" s="57"/>
      <c r="AF346" s="57"/>
      <c r="AG346" s="57"/>
      <c r="AH346" s="57"/>
      <c r="AI346" s="57"/>
      <c r="AJ346" s="57"/>
      <c r="AK346" s="57"/>
      <c r="AL346" s="57"/>
      <c r="AM346" s="57"/>
      <c r="AN346" s="57"/>
      <c r="AO346" s="57"/>
      <c r="AP346" s="57"/>
      <c r="AQ346" s="57"/>
      <c r="AT346" s="57"/>
      <c r="AU346" s="57"/>
      <c r="AV346" s="57"/>
      <c r="AW346" s="57"/>
      <c r="AX346" s="57"/>
      <c r="AY346" s="57"/>
      <c r="AZ346" s="57"/>
      <c r="BA346" s="57"/>
      <c r="BB346" s="57"/>
      <c r="BC346" s="57"/>
      <c r="BD346" s="57"/>
      <c r="BE346" s="57"/>
      <c r="BF346" s="57"/>
      <c r="BG346" s="57"/>
      <c r="BH346" s="57"/>
      <c r="BI346" s="57"/>
      <c r="BJ346" s="57"/>
      <c r="BK346" s="57"/>
      <c r="BL346" s="57"/>
      <c r="BM346" s="57"/>
      <c r="BN346" s="57"/>
      <c r="BO346" s="57"/>
      <c r="BP346" s="57"/>
      <c r="BQ346" s="57"/>
      <c r="BR346" s="57"/>
    </row>
    <row r="347" spans="1:70" x14ac:dyDescent="0.25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  <c r="AB347" s="57"/>
      <c r="AC347" s="57"/>
      <c r="AD347" s="57"/>
      <c r="AE347" s="57"/>
      <c r="AF347" s="57"/>
      <c r="AG347" s="57"/>
      <c r="AH347" s="57"/>
      <c r="AI347" s="57"/>
      <c r="AJ347" s="57"/>
      <c r="AK347" s="57"/>
      <c r="AL347" s="57"/>
      <c r="AM347" s="57"/>
      <c r="AN347" s="57"/>
      <c r="AO347" s="57"/>
      <c r="AP347" s="57"/>
      <c r="AQ347" s="57"/>
      <c r="AT347" s="57"/>
      <c r="AU347" s="57"/>
      <c r="AV347" s="57"/>
      <c r="AW347" s="57"/>
      <c r="AX347" s="57"/>
      <c r="AY347" s="57"/>
      <c r="AZ347" s="57"/>
      <c r="BA347" s="57"/>
      <c r="BB347" s="57"/>
      <c r="BC347" s="57"/>
      <c r="BD347" s="57"/>
      <c r="BE347" s="57"/>
      <c r="BF347" s="57"/>
      <c r="BG347" s="57"/>
      <c r="BH347" s="57"/>
      <c r="BI347" s="57"/>
      <c r="BJ347" s="57"/>
      <c r="BK347" s="57"/>
      <c r="BL347" s="57"/>
      <c r="BM347" s="57"/>
      <c r="BN347" s="57"/>
      <c r="BO347" s="57"/>
      <c r="BP347" s="57"/>
      <c r="BQ347" s="57"/>
      <c r="BR347" s="57"/>
    </row>
    <row r="348" spans="1:70" x14ac:dyDescent="0.25">
      <c r="A348" s="57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  <c r="AB348" s="57"/>
      <c r="AC348" s="57"/>
      <c r="AD348" s="57"/>
      <c r="AE348" s="57"/>
      <c r="AF348" s="57"/>
      <c r="AG348" s="57"/>
      <c r="AH348" s="57"/>
      <c r="AI348" s="57"/>
      <c r="AJ348" s="57"/>
      <c r="AK348" s="57"/>
      <c r="AL348" s="57"/>
      <c r="AM348" s="57"/>
      <c r="AN348" s="57"/>
      <c r="AO348" s="57"/>
      <c r="AP348" s="57"/>
      <c r="AQ348" s="57"/>
      <c r="AT348" s="57"/>
      <c r="AU348" s="57"/>
      <c r="AV348" s="57"/>
      <c r="AW348" s="57"/>
      <c r="AX348" s="57"/>
      <c r="AY348" s="57"/>
      <c r="AZ348" s="57"/>
      <c r="BA348" s="57"/>
      <c r="BB348" s="57"/>
      <c r="BC348" s="57"/>
      <c r="BD348" s="57"/>
      <c r="BE348" s="57"/>
      <c r="BF348" s="57"/>
      <c r="BG348" s="57"/>
      <c r="BH348" s="57"/>
      <c r="BI348" s="57"/>
      <c r="BJ348" s="57"/>
      <c r="BK348" s="57"/>
      <c r="BL348" s="57"/>
      <c r="BM348" s="57"/>
      <c r="BN348" s="57"/>
      <c r="BO348" s="57"/>
      <c r="BP348" s="57"/>
      <c r="BQ348" s="57"/>
      <c r="BR348" s="57"/>
    </row>
    <row r="349" spans="1:70" x14ac:dyDescent="0.25">
      <c r="A349" s="57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57"/>
      <c r="AB349" s="57"/>
      <c r="AC349" s="57"/>
      <c r="AD349" s="57"/>
      <c r="AE349" s="57"/>
      <c r="AF349" s="57"/>
      <c r="AG349" s="57"/>
      <c r="AH349" s="57"/>
      <c r="AI349" s="57"/>
      <c r="AJ349" s="57"/>
      <c r="AK349" s="57"/>
      <c r="AL349" s="57"/>
      <c r="AM349" s="57"/>
      <c r="AN349" s="57"/>
      <c r="AO349" s="57"/>
      <c r="AP349" s="57"/>
      <c r="AQ349" s="57"/>
      <c r="AT349" s="57"/>
      <c r="AU349" s="57"/>
      <c r="AV349" s="57"/>
      <c r="AW349" s="57"/>
      <c r="AX349" s="57"/>
      <c r="AY349" s="57"/>
      <c r="AZ349" s="57"/>
      <c r="BA349" s="57"/>
      <c r="BB349" s="57"/>
      <c r="BC349" s="57"/>
      <c r="BD349" s="57"/>
      <c r="BE349" s="57"/>
      <c r="BF349" s="57"/>
      <c r="BG349" s="57"/>
      <c r="BH349" s="57"/>
      <c r="BI349" s="57"/>
      <c r="BJ349" s="57"/>
      <c r="BK349" s="57"/>
      <c r="BL349" s="57"/>
      <c r="BM349" s="57"/>
      <c r="BN349" s="57"/>
      <c r="BO349" s="57"/>
      <c r="BP349" s="57"/>
      <c r="BQ349" s="57"/>
      <c r="BR349" s="57"/>
    </row>
    <row r="350" spans="1:70" x14ac:dyDescent="0.25">
      <c r="A350" s="57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A350" s="57"/>
      <c r="AB350" s="57"/>
      <c r="AC350" s="57"/>
      <c r="AD350" s="57"/>
      <c r="AE350" s="57"/>
      <c r="AF350" s="57"/>
      <c r="AG350" s="57"/>
      <c r="AH350" s="57"/>
      <c r="AI350" s="57"/>
      <c r="AJ350" s="57"/>
      <c r="AK350" s="57"/>
      <c r="AL350" s="57"/>
      <c r="AM350" s="57"/>
      <c r="AN350" s="57"/>
      <c r="AO350" s="57"/>
      <c r="AP350" s="57"/>
      <c r="AQ350" s="57"/>
      <c r="AT350" s="57"/>
      <c r="AU350" s="57"/>
      <c r="AV350" s="57"/>
      <c r="AW350" s="57"/>
      <c r="AX350" s="57"/>
      <c r="AY350" s="57"/>
      <c r="AZ350" s="57"/>
      <c r="BA350" s="57"/>
      <c r="BB350" s="57"/>
      <c r="BC350" s="57"/>
      <c r="BD350" s="57"/>
      <c r="BE350" s="57"/>
      <c r="BF350" s="57"/>
      <c r="BG350" s="57"/>
      <c r="BH350" s="57"/>
      <c r="BI350" s="57"/>
      <c r="BJ350" s="57"/>
      <c r="BK350" s="57"/>
      <c r="BL350" s="57"/>
      <c r="BM350" s="57"/>
      <c r="BN350" s="57"/>
      <c r="BO350" s="57"/>
      <c r="BP350" s="57"/>
      <c r="BQ350" s="57"/>
      <c r="BR350" s="57"/>
    </row>
    <row r="351" spans="1:70" x14ac:dyDescent="0.25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A351" s="57"/>
      <c r="AB351" s="57"/>
      <c r="AC351" s="57"/>
      <c r="AD351" s="57"/>
      <c r="AE351" s="57"/>
      <c r="AF351" s="57"/>
      <c r="AG351" s="57"/>
      <c r="AH351" s="57"/>
      <c r="AI351" s="57"/>
      <c r="AJ351" s="57"/>
      <c r="AK351" s="57"/>
      <c r="AL351" s="57"/>
      <c r="AM351" s="57"/>
      <c r="AN351" s="57"/>
      <c r="AO351" s="57"/>
      <c r="AP351" s="57"/>
      <c r="AQ351" s="57"/>
      <c r="AT351" s="57"/>
      <c r="AU351" s="57"/>
      <c r="AV351" s="57"/>
      <c r="AW351" s="57"/>
      <c r="AX351" s="57"/>
      <c r="AY351" s="57"/>
      <c r="AZ351" s="57"/>
      <c r="BA351" s="57"/>
      <c r="BB351" s="57"/>
      <c r="BC351" s="57"/>
      <c r="BD351" s="57"/>
      <c r="BE351" s="57"/>
      <c r="BF351" s="57"/>
      <c r="BG351" s="57"/>
      <c r="BH351" s="57"/>
      <c r="BI351" s="57"/>
      <c r="BJ351" s="57"/>
      <c r="BK351" s="57"/>
      <c r="BL351" s="57"/>
      <c r="BM351" s="57"/>
      <c r="BN351" s="57"/>
      <c r="BO351" s="57"/>
      <c r="BP351" s="57"/>
      <c r="BQ351" s="57"/>
      <c r="BR351" s="57"/>
    </row>
    <row r="352" spans="1:70" x14ac:dyDescent="0.25">
      <c r="A352" s="57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57"/>
      <c r="AB352" s="57"/>
      <c r="AC352" s="57"/>
      <c r="AD352" s="57"/>
      <c r="AE352" s="57"/>
      <c r="AF352" s="57"/>
      <c r="AG352" s="57"/>
      <c r="AH352" s="57"/>
      <c r="AI352" s="57"/>
      <c r="AJ352" s="57"/>
      <c r="AK352" s="57"/>
      <c r="AL352" s="57"/>
      <c r="AM352" s="57"/>
      <c r="AN352" s="57"/>
      <c r="AO352" s="57"/>
      <c r="AP352" s="57"/>
      <c r="AQ352" s="57"/>
      <c r="AT352" s="57"/>
      <c r="AU352" s="57"/>
      <c r="AV352" s="57"/>
      <c r="AW352" s="57"/>
      <c r="AX352" s="57"/>
      <c r="AY352" s="57"/>
      <c r="AZ352" s="57"/>
      <c r="BA352" s="57"/>
      <c r="BB352" s="57"/>
      <c r="BC352" s="57"/>
      <c r="BD352" s="57"/>
      <c r="BE352" s="57"/>
      <c r="BF352" s="57"/>
      <c r="BG352" s="57"/>
      <c r="BH352" s="57"/>
      <c r="BI352" s="57"/>
      <c r="BJ352" s="57"/>
      <c r="BK352" s="57"/>
      <c r="BL352" s="57"/>
      <c r="BM352" s="57"/>
      <c r="BN352" s="57"/>
      <c r="BO352" s="57"/>
      <c r="BP352" s="57"/>
      <c r="BQ352" s="57"/>
      <c r="BR352" s="57"/>
    </row>
    <row r="353" spans="1:70" x14ac:dyDescent="0.25">
      <c r="A353" s="57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  <c r="AA353" s="57"/>
      <c r="AB353" s="57"/>
      <c r="AC353" s="57"/>
      <c r="AD353" s="57"/>
      <c r="AE353" s="57"/>
      <c r="AF353" s="57"/>
      <c r="AG353" s="57"/>
      <c r="AH353" s="57"/>
      <c r="AI353" s="57"/>
      <c r="AJ353" s="57"/>
      <c r="AK353" s="57"/>
      <c r="AL353" s="57"/>
      <c r="AM353" s="57"/>
      <c r="AN353" s="57"/>
      <c r="AO353" s="57"/>
      <c r="AP353" s="57"/>
      <c r="AQ353" s="57"/>
      <c r="AT353" s="57"/>
      <c r="AU353" s="57"/>
      <c r="AV353" s="57"/>
      <c r="AW353" s="57"/>
      <c r="AX353" s="57"/>
      <c r="AY353" s="57"/>
      <c r="AZ353" s="57"/>
      <c r="BA353" s="57"/>
      <c r="BB353" s="57"/>
      <c r="BC353" s="57"/>
      <c r="BD353" s="57"/>
      <c r="BE353" s="57"/>
      <c r="BF353" s="57"/>
      <c r="BG353" s="57"/>
      <c r="BH353" s="57"/>
      <c r="BI353" s="57"/>
      <c r="BJ353" s="57"/>
      <c r="BK353" s="57"/>
      <c r="BL353" s="57"/>
      <c r="BM353" s="57"/>
      <c r="BN353" s="57"/>
      <c r="BO353" s="57"/>
      <c r="BP353" s="57"/>
      <c r="BQ353" s="57"/>
      <c r="BR353" s="57"/>
    </row>
    <row r="354" spans="1:70" x14ac:dyDescent="0.25">
      <c r="A354" s="57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  <c r="AB354" s="57"/>
      <c r="AC354" s="57"/>
      <c r="AD354" s="57"/>
      <c r="AE354" s="57"/>
      <c r="AF354" s="57"/>
      <c r="AG354" s="57"/>
      <c r="AH354" s="57"/>
      <c r="AI354" s="57"/>
      <c r="AJ354" s="57"/>
      <c r="AK354" s="57"/>
      <c r="AL354" s="57"/>
      <c r="AM354" s="57"/>
      <c r="AN354" s="57"/>
      <c r="AO354" s="57"/>
      <c r="AP354" s="57"/>
      <c r="AQ354" s="57"/>
      <c r="AT354" s="57"/>
      <c r="AU354" s="57"/>
      <c r="AV354" s="57"/>
      <c r="AW354" s="57"/>
      <c r="AX354" s="57"/>
      <c r="AY354" s="57"/>
      <c r="AZ354" s="57"/>
      <c r="BA354" s="57"/>
      <c r="BB354" s="57"/>
      <c r="BC354" s="57"/>
      <c r="BD354" s="57"/>
      <c r="BE354" s="57"/>
      <c r="BF354" s="57"/>
      <c r="BG354" s="57"/>
      <c r="BH354" s="57"/>
      <c r="BI354" s="57"/>
      <c r="BJ354" s="57"/>
      <c r="BK354" s="57"/>
      <c r="BL354" s="57"/>
      <c r="BM354" s="57"/>
      <c r="BN354" s="57"/>
      <c r="BO354" s="57"/>
      <c r="BP354" s="57"/>
      <c r="BQ354" s="57"/>
      <c r="BR354" s="57"/>
    </row>
    <row r="355" spans="1:70" x14ac:dyDescent="0.25">
      <c r="A355" s="57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  <c r="AB355" s="57"/>
      <c r="AC355" s="57"/>
      <c r="AD355" s="57"/>
      <c r="AE355" s="57"/>
      <c r="AF355" s="57"/>
      <c r="AG355" s="57"/>
      <c r="AH355" s="57"/>
      <c r="AI355" s="57"/>
      <c r="AJ355" s="57"/>
      <c r="AK355" s="57"/>
      <c r="AL355" s="57"/>
      <c r="AM355" s="57"/>
      <c r="AN355" s="57"/>
      <c r="AO355" s="57"/>
      <c r="AP355" s="57"/>
      <c r="AQ355" s="57"/>
      <c r="AT355" s="57"/>
      <c r="AU355" s="57"/>
      <c r="AV355" s="57"/>
      <c r="AW355" s="57"/>
      <c r="AX355" s="57"/>
      <c r="AY355" s="57"/>
      <c r="AZ355" s="57"/>
      <c r="BA355" s="57"/>
      <c r="BB355" s="57"/>
      <c r="BC355" s="57"/>
      <c r="BD355" s="57"/>
      <c r="BE355" s="57"/>
      <c r="BF355" s="57"/>
      <c r="BG355" s="57"/>
      <c r="BH355" s="57"/>
      <c r="BI355" s="57"/>
      <c r="BJ355" s="57"/>
      <c r="BK355" s="57"/>
      <c r="BL355" s="57"/>
      <c r="BM355" s="57"/>
      <c r="BN355" s="57"/>
      <c r="BO355" s="57"/>
      <c r="BP355" s="57"/>
      <c r="BQ355" s="57"/>
      <c r="BR355" s="57"/>
    </row>
    <row r="356" spans="1:70" x14ac:dyDescent="0.25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57"/>
      <c r="AE356" s="57"/>
      <c r="AF356" s="57"/>
      <c r="AG356" s="57"/>
      <c r="AH356" s="57"/>
      <c r="AI356" s="57"/>
      <c r="AJ356" s="57"/>
      <c r="AK356" s="57"/>
      <c r="AL356" s="57"/>
      <c r="AM356" s="57"/>
      <c r="AN356" s="57"/>
      <c r="AO356" s="57"/>
      <c r="AP356" s="57"/>
      <c r="AQ356" s="57"/>
      <c r="AT356" s="57"/>
      <c r="AU356" s="57"/>
      <c r="AV356" s="57"/>
      <c r="AW356" s="57"/>
      <c r="AX356" s="57"/>
      <c r="AY356" s="57"/>
      <c r="AZ356" s="57"/>
      <c r="BA356" s="57"/>
      <c r="BB356" s="57"/>
      <c r="BC356" s="57"/>
      <c r="BD356" s="57"/>
      <c r="BE356" s="57"/>
      <c r="BF356" s="57"/>
      <c r="BG356" s="57"/>
      <c r="BH356" s="57"/>
      <c r="BI356" s="57"/>
      <c r="BJ356" s="57"/>
      <c r="BK356" s="57"/>
      <c r="BL356" s="57"/>
      <c r="BM356" s="57"/>
      <c r="BN356" s="57"/>
      <c r="BO356" s="57"/>
      <c r="BP356" s="57"/>
      <c r="BQ356" s="57"/>
      <c r="BR356" s="57"/>
    </row>
    <row r="357" spans="1:70" x14ac:dyDescent="0.25">
      <c r="A357" s="57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  <c r="AA357" s="57"/>
      <c r="AB357" s="57"/>
      <c r="AC357" s="57"/>
      <c r="AD357" s="57"/>
      <c r="AE357" s="57"/>
      <c r="AF357" s="57"/>
      <c r="AG357" s="57"/>
      <c r="AH357" s="57"/>
      <c r="AI357" s="57"/>
      <c r="AJ357" s="57"/>
      <c r="AK357" s="57"/>
      <c r="AL357" s="57"/>
      <c r="AM357" s="57"/>
      <c r="AN357" s="57"/>
      <c r="AO357" s="57"/>
      <c r="AP357" s="57"/>
      <c r="AQ357" s="57"/>
      <c r="AT357" s="57"/>
      <c r="AU357" s="57"/>
      <c r="AV357" s="57"/>
      <c r="AW357" s="57"/>
      <c r="AX357" s="57"/>
      <c r="AY357" s="57"/>
      <c r="AZ357" s="57"/>
      <c r="BA357" s="57"/>
      <c r="BB357" s="57"/>
      <c r="BC357" s="57"/>
      <c r="BD357" s="57"/>
      <c r="BE357" s="57"/>
      <c r="BF357" s="57"/>
      <c r="BG357" s="57"/>
      <c r="BH357" s="57"/>
      <c r="BI357" s="57"/>
      <c r="BJ357" s="57"/>
      <c r="BK357" s="57"/>
      <c r="BL357" s="57"/>
      <c r="BM357" s="57"/>
      <c r="BN357" s="57"/>
      <c r="BO357" s="57"/>
      <c r="BP357" s="57"/>
      <c r="BQ357" s="57"/>
      <c r="BR357" s="57"/>
    </row>
    <row r="358" spans="1:70" x14ac:dyDescent="0.25">
      <c r="A358" s="57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  <c r="AA358" s="57"/>
      <c r="AB358" s="57"/>
      <c r="AC358" s="57"/>
      <c r="AD358" s="57"/>
      <c r="AE358" s="57"/>
      <c r="AF358" s="57"/>
      <c r="AG358" s="57"/>
      <c r="AH358" s="57"/>
      <c r="AI358" s="57"/>
      <c r="AJ358" s="57"/>
      <c r="AK358" s="57"/>
      <c r="AL358" s="57"/>
      <c r="AM358" s="57"/>
      <c r="AN358" s="57"/>
      <c r="AO358" s="57"/>
      <c r="AP358" s="57"/>
      <c r="AQ358" s="57"/>
      <c r="AT358" s="57"/>
      <c r="AU358" s="57"/>
      <c r="AV358" s="57"/>
      <c r="AW358" s="57"/>
      <c r="AX358" s="57"/>
      <c r="AY358" s="57"/>
      <c r="AZ358" s="57"/>
      <c r="BA358" s="57"/>
      <c r="BB358" s="57"/>
      <c r="BC358" s="57"/>
      <c r="BD358" s="57"/>
      <c r="BE358" s="57"/>
      <c r="BF358" s="57"/>
      <c r="BG358" s="57"/>
      <c r="BH358" s="57"/>
      <c r="BI358" s="57"/>
      <c r="BJ358" s="57"/>
      <c r="BK358" s="57"/>
      <c r="BL358" s="57"/>
      <c r="BM358" s="57"/>
      <c r="BN358" s="57"/>
      <c r="BO358" s="57"/>
      <c r="BP358" s="57"/>
      <c r="BQ358" s="57"/>
      <c r="BR358" s="57"/>
    </row>
    <row r="359" spans="1:70" x14ac:dyDescent="0.25">
      <c r="A359" s="57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  <c r="AA359" s="57"/>
      <c r="AB359" s="57"/>
      <c r="AC359" s="57"/>
      <c r="AD359" s="57"/>
      <c r="AE359" s="57"/>
      <c r="AF359" s="57"/>
      <c r="AG359" s="57"/>
      <c r="AH359" s="57"/>
      <c r="AI359" s="57"/>
      <c r="AJ359" s="57"/>
      <c r="AK359" s="57"/>
      <c r="AL359" s="57"/>
      <c r="AM359" s="57"/>
      <c r="AN359" s="57"/>
      <c r="AO359" s="57"/>
      <c r="AP359" s="57"/>
      <c r="AQ359" s="57"/>
      <c r="AT359" s="57"/>
      <c r="AU359" s="57"/>
      <c r="AV359" s="57"/>
      <c r="AW359" s="57"/>
      <c r="AX359" s="57"/>
      <c r="AY359" s="57"/>
      <c r="AZ359" s="57"/>
      <c r="BA359" s="57"/>
      <c r="BB359" s="57"/>
      <c r="BC359" s="57"/>
      <c r="BD359" s="57"/>
      <c r="BE359" s="57"/>
      <c r="BF359" s="57"/>
      <c r="BG359" s="57"/>
      <c r="BH359" s="57"/>
      <c r="BI359" s="57"/>
      <c r="BJ359" s="57"/>
      <c r="BK359" s="57"/>
      <c r="BL359" s="57"/>
      <c r="BM359" s="57"/>
      <c r="BN359" s="57"/>
      <c r="BO359" s="57"/>
      <c r="BP359" s="57"/>
      <c r="BQ359" s="57"/>
      <c r="BR359" s="57"/>
    </row>
    <row r="360" spans="1:70" x14ac:dyDescent="0.25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A360" s="57"/>
      <c r="AB360" s="57"/>
      <c r="AC360" s="57"/>
      <c r="AD360" s="57"/>
      <c r="AE360" s="57"/>
      <c r="AF360" s="57"/>
      <c r="AG360" s="57"/>
      <c r="AH360" s="57"/>
      <c r="AI360" s="57"/>
      <c r="AJ360" s="57"/>
      <c r="AK360" s="57"/>
      <c r="AL360" s="57"/>
      <c r="AM360" s="57"/>
      <c r="AN360" s="57"/>
      <c r="AO360" s="57"/>
      <c r="AP360" s="57"/>
      <c r="AQ360" s="57"/>
      <c r="AT360" s="57"/>
      <c r="AU360" s="57"/>
      <c r="AV360" s="57"/>
      <c r="AW360" s="57"/>
      <c r="AX360" s="57"/>
      <c r="AY360" s="57"/>
      <c r="AZ360" s="57"/>
      <c r="BA360" s="57"/>
      <c r="BB360" s="57"/>
      <c r="BC360" s="57"/>
      <c r="BD360" s="57"/>
      <c r="BE360" s="57"/>
      <c r="BF360" s="57"/>
      <c r="BG360" s="57"/>
      <c r="BH360" s="57"/>
      <c r="BI360" s="57"/>
      <c r="BJ360" s="57"/>
      <c r="BK360" s="57"/>
      <c r="BL360" s="57"/>
      <c r="BM360" s="57"/>
      <c r="BN360" s="57"/>
      <c r="BO360" s="57"/>
      <c r="BP360" s="57"/>
      <c r="BQ360" s="57"/>
      <c r="BR360" s="57"/>
    </row>
    <row r="361" spans="1:70" x14ac:dyDescent="0.25">
      <c r="A361" s="57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A361" s="57"/>
      <c r="AB361" s="57"/>
      <c r="AC361" s="57"/>
      <c r="AD361" s="57"/>
      <c r="AE361" s="57"/>
      <c r="AF361" s="57"/>
      <c r="AG361" s="57"/>
      <c r="AH361" s="57"/>
      <c r="AI361" s="57"/>
      <c r="AJ361" s="57"/>
      <c r="AK361" s="57"/>
      <c r="AL361" s="57"/>
      <c r="AM361" s="57"/>
      <c r="AN361" s="57"/>
      <c r="AO361" s="57"/>
      <c r="AP361" s="57"/>
      <c r="AQ361" s="57"/>
      <c r="AT361" s="57"/>
      <c r="AU361" s="57"/>
      <c r="AV361" s="57"/>
      <c r="AW361" s="57"/>
      <c r="AX361" s="57"/>
      <c r="AY361" s="57"/>
      <c r="AZ361" s="57"/>
      <c r="BA361" s="57"/>
      <c r="BB361" s="57"/>
      <c r="BC361" s="57"/>
      <c r="BD361" s="57"/>
      <c r="BE361" s="57"/>
      <c r="BF361" s="57"/>
      <c r="BG361" s="57"/>
      <c r="BH361" s="57"/>
      <c r="BI361" s="57"/>
      <c r="BJ361" s="57"/>
      <c r="BK361" s="57"/>
      <c r="BL361" s="57"/>
      <c r="BM361" s="57"/>
      <c r="BN361" s="57"/>
      <c r="BO361" s="57"/>
      <c r="BP361" s="57"/>
      <c r="BQ361" s="57"/>
      <c r="BR361" s="57"/>
    </row>
    <row r="362" spans="1:70" x14ac:dyDescent="0.25">
      <c r="A362" s="57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  <c r="AA362" s="57"/>
      <c r="AB362" s="57"/>
      <c r="AC362" s="57"/>
      <c r="AD362" s="57"/>
      <c r="AE362" s="57"/>
      <c r="AF362" s="57"/>
      <c r="AG362" s="57"/>
      <c r="AH362" s="57"/>
      <c r="AI362" s="57"/>
      <c r="AJ362" s="57"/>
      <c r="AK362" s="57"/>
      <c r="AL362" s="57"/>
      <c r="AM362" s="57"/>
      <c r="AN362" s="57"/>
      <c r="AO362" s="57"/>
      <c r="AP362" s="57"/>
      <c r="AQ362" s="57"/>
      <c r="AT362" s="57"/>
      <c r="AU362" s="57"/>
      <c r="AV362" s="57"/>
      <c r="AW362" s="57"/>
      <c r="AX362" s="57"/>
      <c r="AY362" s="57"/>
      <c r="AZ362" s="57"/>
      <c r="BA362" s="57"/>
      <c r="BB362" s="57"/>
      <c r="BC362" s="57"/>
      <c r="BD362" s="57"/>
      <c r="BE362" s="57"/>
      <c r="BF362" s="57"/>
      <c r="BG362" s="57"/>
      <c r="BH362" s="57"/>
      <c r="BI362" s="57"/>
      <c r="BJ362" s="57"/>
      <c r="BK362" s="57"/>
      <c r="BL362" s="57"/>
      <c r="BM362" s="57"/>
      <c r="BN362" s="57"/>
      <c r="BO362" s="57"/>
      <c r="BP362" s="57"/>
      <c r="BQ362" s="57"/>
      <c r="BR362" s="57"/>
    </row>
    <row r="363" spans="1:70" x14ac:dyDescent="0.25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  <c r="AA363" s="57"/>
      <c r="AB363" s="57"/>
      <c r="AC363" s="57"/>
      <c r="AD363" s="57"/>
      <c r="AE363" s="57"/>
      <c r="AF363" s="57"/>
      <c r="AG363" s="57"/>
      <c r="AH363" s="57"/>
      <c r="AI363" s="57"/>
      <c r="AJ363" s="57"/>
      <c r="AK363" s="57"/>
      <c r="AL363" s="57"/>
      <c r="AM363" s="57"/>
      <c r="AN363" s="57"/>
      <c r="AO363" s="57"/>
      <c r="AP363" s="57"/>
      <c r="AQ363" s="57"/>
      <c r="AT363" s="57"/>
      <c r="AU363" s="57"/>
      <c r="AV363" s="57"/>
      <c r="AW363" s="57"/>
      <c r="AX363" s="57"/>
      <c r="AY363" s="57"/>
      <c r="AZ363" s="57"/>
      <c r="BA363" s="57"/>
      <c r="BB363" s="57"/>
      <c r="BC363" s="57"/>
      <c r="BD363" s="57"/>
      <c r="BE363" s="57"/>
      <c r="BF363" s="57"/>
      <c r="BG363" s="57"/>
      <c r="BH363" s="57"/>
      <c r="BI363" s="57"/>
      <c r="BJ363" s="57"/>
      <c r="BK363" s="57"/>
      <c r="BL363" s="57"/>
      <c r="BM363" s="57"/>
      <c r="BN363" s="57"/>
      <c r="BO363" s="57"/>
      <c r="BP363" s="57"/>
      <c r="BQ363" s="57"/>
      <c r="BR363" s="57"/>
    </row>
    <row r="364" spans="1:70" x14ac:dyDescent="0.25">
      <c r="A364" s="57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  <c r="AB364" s="57"/>
      <c r="AC364" s="57"/>
      <c r="AD364" s="57"/>
      <c r="AE364" s="57"/>
      <c r="AF364" s="57"/>
      <c r="AG364" s="57"/>
      <c r="AH364" s="57"/>
      <c r="AI364" s="57"/>
      <c r="AJ364" s="57"/>
      <c r="AK364" s="57"/>
      <c r="AL364" s="57"/>
      <c r="AM364" s="57"/>
      <c r="AN364" s="57"/>
      <c r="AO364" s="57"/>
      <c r="AP364" s="57"/>
      <c r="AQ364" s="57"/>
      <c r="AT364" s="57"/>
      <c r="AU364" s="57"/>
      <c r="AV364" s="57"/>
      <c r="AW364" s="57"/>
      <c r="AX364" s="57"/>
      <c r="AY364" s="57"/>
      <c r="AZ364" s="57"/>
      <c r="BA364" s="57"/>
      <c r="BB364" s="57"/>
      <c r="BC364" s="57"/>
      <c r="BD364" s="57"/>
      <c r="BE364" s="57"/>
      <c r="BF364" s="57"/>
      <c r="BG364" s="57"/>
      <c r="BH364" s="57"/>
      <c r="BI364" s="57"/>
      <c r="BJ364" s="57"/>
      <c r="BK364" s="57"/>
      <c r="BL364" s="57"/>
      <c r="BM364" s="57"/>
      <c r="BN364" s="57"/>
      <c r="BO364" s="57"/>
      <c r="BP364" s="57"/>
      <c r="BQ364" s="57"/>
      <c r="BR364" s="57"/>
    </row>
    <row r="365" spans="1:70" x14ac:dyDescent="0.25">
      <c r="A365" s="57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S365" s="57"/>
      <c r="T365" s="57"/>
      <c r="U365" s="57"/>
      <c r="V365" s="57"/>
      <c r="W365" s="57"/>
      <c r="X365" s="57"/>
      <c r="Y365" s="57"/>
      <c r="Z365" s="57"/>
      <c r="AA365" s="57"/>
      <c r="AB365" s="57"/>
      <c r="AC365" s="57"/>
      <c r="AD365" s="57"/>
      <c r="AE365" s="57"/>
      <c r="AF365" s="57"/>
      <c r="AG365" s="57"/>
      <c r="AH365" s="57"/>
      <c r="AI365" s="57"/>
      <c r="AJ365" s="57"/>
      <c r="AK365" s="57"/>
      <c r="AL365" s="57"/>
      <c r="AM365" s="57"/>
      <c r="AN365" s="57"/>
      <c r="AO365" s="57"/>
      <c r="AP365" s="57"/>
      <c r="AQ365" s="57"/>
      <c r="AT365" s="57"/>
      <c r="AU365" s="57"/>
      <c r="AV365" s="57"/>
      <c r="AW365" s="57"/>
      <c r="AX365" s="57"/>
      <c r="AY365" s="57"/>
      <c r="AZ365" s="57"/>
      <c r="BA365" s="57"/>
      <c r="BB365" s="57"/>
      <c r="BC365" s="57"/>
      <c r="BD365" s="57"/>
      <c r="BE365" s="57"/>
      <c r="BF365" s="57"/>
      <c r="BG365" s="57"/>
      <c r="BH365" s="57"/>
      <c r="BI365" s="57"/>
      <c r="BJ365" s="57"/>
      <c r="BK365" s="57"/>
      <c r="BL365" s="57"/>
      <c r="BM365" s="57"/>
      <c r="BN365" s="57"/>
      <c r="BO365" s="57"/>
      <c r="BP365" s="57"/>
      <c r="BQ365" s="57"/>
      <c r="BR365" s="57"/>
    </row>
    <row r="366" spans="1:70" x14ac:dyDescent="0.25">
      <c r="A366" s="57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S366" s="57"/>
      <c r="T366" s="57"/>
      <c r="U366" s="57"/>
      <c r="V366" s="57"/>
      <c r="W366" s="57"/>
      <c r="X366" s="57"/>
      <c r="Y366" s="57"/>
      <c r="Z366" s="57"/>
      <c r="AA366" s="57"/>
      <c r="AB366" s="57"/>
      <c r="AC366" s="57"/>
      <c r="AD366" s="57"/>
      <c r="AE366" s="57"/>
      <c r="AF366" s="57"/>
      <c r="AG366" s="57"/>
      <c r="AH366" s="57"/>
      <c r="AI366" s="57"/>
      <c r="AJ366" s="57"/>
      <c r="AK366" s="57"/>
      <c r="AL366" s="57"/>
      <c r="AM366" s="57"/>
      <c r="AN366" s="57"/>
      <c r="AO366" s="57"/>
      <c r="AP366" s="57"/>
      <c r="AQ366" s="57"/>
      <c r="AT366" s="57"/>
      <c r="AU366" s="57"/>
      <c r="AV366" s="57"/>
      <c r="AW366" s="57"/>
      <c r="AX366" s="57"/>
      <c r="AY366" s="57"/>
      <c r="AZ366" s="57"/>
      <c r="BA366" s="57"/>
      <c r="BB366" s="57"/>
      <c r="BC366" s="57"/>
      <c r="BD366" s="57"/>
      <c r="BE366" s="57"/>
      <c r="BF366" s="57"/>
      <c r="BG366" s="57"/>
      <c r="BH366" s="57"/>
      <c r="BI366" s="57"/>
      <c r="BJ366" s="57"/>
      <c r="BK366" s="57"/>
      <c r="BL366" s="57"/>
      <c r="BM366" s="57"/>
      <c r="BN366" s="57"/>
      <c r="BO366" s="57"/>
      <c r="BP366" s="57"/>
      <c r="BQ366" s="57"/>
      <c r="BR366" s="57"/>
    </row>
    <row r="367" spans="1:70" x14ac:dyDescent="0.25">
      <c r="A367" s="57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S367" s="57"/>
      <c r="T367" s="57"/>
      <c r="U367" s="57"/>
      <c r="V367" s="57"/>
      <c r="W367" s="57"/>
      <c r="X367" s="57"/>
      <c r="Y367" s="57"/>
      <c r="Z367" s="57"/>
      <c r="AA367" s="57"/>
      <c r="AB367" s="57"/>
      <c r="AC367" s="57"/>
      <c r="AD367" s="57"/>
      <c r="AE367" s="57"/>
      <c r="AF367" s="57"/>
      <c r="AG367" s="57"/>
      <c r="AH367" s="57"/>
      <c r="AI367" s="57"/>
      <c r="AJ367" s="57"/>
      <c r="AK367" s="57"/>
      <c r="AL367" s="57"/>
      <c r="AM367" s="57"/>
      <c r="AN367" s="57"/>
      <c r="AO367" s="57"/>
      <c r="AP367" s="57"/>
      <c r="AQ367" s="57"/>
      <c r="AT367" s="57"/>
      <c r="AU367" s="57"/>
      <c r="AV367" s="57"/>
      <c r="AW367" s="57"/>
      <c r="AX367" s="57"/>
      <c r="AY367" s="57"/>
      <c r="AZ367" s="57"/>
      <c r="BA367" s="57"/>
      <c r="BB367" s="57"/>
      <c r="BC367" s="57"/>
      <c r="BD367" s="57"/>
      <c r="BE367" s="57"/>
      <c r="BF367" s="57"/>
      <c r="BG367" s="57"/>
      <c r="BH367" s="57"/>
      <c r="BI367" s="57"/>
      <c r="BJ367" s="57"/>
      <c r="BK367" s="57"/>
      <c r="BL367" s="57"/>
      <c r="BM367" s="57"/>
      <c r="BN367" s="57"/>
      <c r="BO367" s="57"/>
      <c r="BP367" s="57"/>
      <c r="BQ367" s="57"/>
      <c r="BR367" s="57"/>
    </row>
    <row r="368" spans="1:70" x14ac:dyDescent="0.25">
      <c r="A368" s="57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S368" s="57"/>
      <c r="T368" s="57"/>
      <c r="U368" s="57"/>
      <c r="V368" s="57"/>
      <c r="W368" s="57"/>
      <c r="X368" s="57"/>
      <c r="Y368" s="57"/>
      <c r="Z368" s="57"/>
      <c r="AA368" s="57"/>
      <c r="AB368" s="57"/>
      <c r="AC368" s="57"/>
      <c r="AD368" s="57"/>
      <c r="AE368" s="57"/>
      <c r="AF368" s="57"/>
      <c r="AG368" s="57"/>
      <c r="AH368" s="57"/>
      <c r="AI368" s="57"/>
      <c r="AJ368" s="57"/>
      <c r="AK368" s="57"/>
      <c r="AL368" s="57"/>
      <c r="AM368" s="57"/>
      <c r="AN368" s="57"/>
      <c r="AO368" s="57"/>
      <c r="AP368" s="57"/>
      <c r="AQ368" s="57"/>
      <c r="AT368" s="57"/>
      <c r="AU368" s="57"/>
      <c r="AV368" s="57"/>
      <c r="AW368" s="57"/>
      <c r="AX368" s="57"/>
      <c r="AY368" s="57"/>
      <c r="AZ368" s="57"/>
      <c r="BA368" s="57"/>
      <c r="BB368" s="57"/>
      <c r="BC368" s="57"/>
      <c r="BD368" s="57"/>
      <c r="BE368" s="57"/>
      <c r="BF368" s="57"/>
      <c r="BG368" s="57"/>
      <c r="BH368" s="57"/>
      <c r="BI368" s="57"/>
      <c r="BJ368" s="57"/>
      <c r="BK368" s="57"/>
      <c r="BL368" s="57"/>
      <c r="BM368" s="57"/>
      <c r="BN368" s="57"/>
      <c r="BO368" s="57"/>
      <c r="BP368" s="57"/>
      <c r="BQ368" s="57"/>
      <c r="BR368" s="57"/>
    </row>
    <row r="369" spans="1:70" x14ac:dyDescent="0.25">
      <c r="A369" s="57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S369" s="57"/>
      <c r="T369" s="57"/>
      <c r="U369" s="57"/>
      <c r="V369" s="57"/>
      <c r="W369" s="57"/>
      <c r="X369" s="57"/>
      <c r="Y369" s="57"/>
      <c r="Z369" s="57"/>
      <c r="AA369" s="57"/>
      <c r="AB369" s="57"/>
      <c r="AC369" s="57"/>
      <c r="AD369" s="57"/>
      <c r="AE369" s="57"/>
      <c r="AF369" s="57"/>
      <c r="AG369" s="57"/>
      <c r="AH369" s="57"/>
      <c r="AI369" s="57"/>
      <c r="AJ369" s="57"/>
      <c r="AK369" s="57"/>
      <c r="AL369" s="57"/>
      <c r="AM369" s="57"/>
      <c r="AN369" s="57"/>
      <c r="AO369" s="57"/>
      <c r="AP369" s="57"/>
      <c r="AQ369" s="57"/>
      <c r="AT369" s="57"/>
      <c r="AU369" s="57"/>
      <c r="AV369" s="57"/>
      <c r="AW369" s="57"/>
      <c r="AX369" s="57"/>
      <c r="AY369" s="57"/>
      <c r="AZ369" s="57"/>
      <c r="BA369" s="57"/>
      <c r="BB369" s="57"/>
      <c r="BC369" s="57"/>
      <c r="BD369" s="57"/>
      <c r="BE369" s="57"/>
      <c r="BF369" s="57"/>
      <c r="BG369" s="57"/>
      <c r="BH369" s="57"/>
      <c r="BI369" s="57"/>
      <c r="BJ369" s="57"/>
      <c r="BK369" s="57"/>
      <c r="BL369" s="57"/>
      <c r="BM369" s="57"/>
      <c r="BN369" s="57"/>
      <c r="BO369" s="57"/>
      <c r="BP369" s="57"/>
      <c r="BQ369" s="57"/>
      <c r="BR369" s="57"/>
    </row>
    <row r="370" spans="1:70" x14ac:dyDescent="0.25">
      <c r="A370" s="57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S370" s="57"/>
      <c r="T370" s="57"/>
      <c r="U370" s="57"/>
      <c r="V370" s="57"/>
      <c r="W370" s="57"/>
      <c r="X370" s="57"/>
      <c r="Y370" s="57"/>
      <c r="Z370" s="57"/>
      <c r="AA370" s="57"/>
      <c r="AB370" s="57"/>
      <c r="AC370" s="57"/>
      <c r="AD370" s="57"/>
      <c r="AE370" s="57"/>
      <c r="AF370" s="57"/>
      <c r="AG370" s="57"/>
      <c r="AH370" s="57"/>
      <c r="AI370" s="57"/>
      <c r="AJ370" s="57"/>
      <c r="AK370" s="57"/>
      <c r="AL370" s="57"/>
      <c r="AM370" s="57"/>
      <c r="AN370" s="57"/>
      <c r="AO370" s="57"/>
      <c r="AP370" s="57"/>
      <c r="AQ370" s="57"/>
      <c r="AT370" s="57"/>
      <c r="AU370" s="57"/>
      <c r="AV370" s="57"/>
      <c r="AW370" s="57"/>
      <c r="AX370" s="57"/>
      <c r="AY370" s="57"/>
      <c r="AZ370" s="57"/>
      <c r="BA370" s="57"/>
      <c r="BB370" s="57"/>
      <c r="BC370" s="57"/>
      <c r="BD370" s="57"/>
      <c r="BE370" s="57"/>
      <c r="BF370" s="57"/>
      <c r="BG370" s="57"/>
      <c r="BH370" s="57"/>
      <c r="BI370" s="57"/>
      <c r="BJ370" s="57"/>
      <c r="BK370" s="57"/>
      <c r="BL370" s="57"/>
      <c r="BM370" s="57"/>
      <c r="BN370" s="57"/>
      <c r="BO370" s="57"/>
      <c r="BP370" s="57"/>
      <c r="BQ370" s="57"/>
      <c r="BR370" s="57"/>
    </row>
    <row r="371" spans="1:70" x14ac:dyDescent="0.25">
      <c r="A371" s="57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S371" s="57"/>
      <c r="T371" s="57"/>
      <c r="U371" s="57"/>
      <c r="V371" s="57"/>
      <c r="W371" s="57"/>
      <c r="X371" s="57"/>
      <c r="Y371" s="57"/>
      <c r="Z371" s="57"/>
      <c r="AA371" s="57"/>
      <c r="AB371" s="57"/>
      <c r="AC371" s="57"/>
      <c r="AD371" s="57"/>
      <c r="AE371" s="57"/>
      <c r="AF371" s="57"/>
      <c r="AG371" s="57"/>
      <c r="AH371" s="57"/>
      <c r="AI371" s="57"/>
      <c r="AJ371" s="57"/>
      <c r="AK371" s="57"/>
      <c r="AL371" s="57"/>
      <c r="AM371" s="57"/>
      <c r="AN371" s="57"/>
      <c r="AO371" s="57"/>
      <c r="AP371" s="57"/>
      <c r="AQ371" s="57"/>
      <c r="AT371" s="57"/>
      <c r="AU371" s="57"/>
      <c r="AV371" s="57"/>
      <c r="AW371" s="57"/>
      <c r="AX371" s="57"/>
      <c r="AY371" s="57"/>
      <c r="AZ371" s="57"/>
      <c r="BA371" s="57"/>
      <c r="BB371" s="57"/>
      <c r="BC371" s="57"/>
      <c r="BD371" s="57"/>
      <c r="BE371" s="57"/>
      <c r="BF371" s="57"/>
      <c r="BG371" s="57"/>
      <c r="BH371" s="57"/>
      <c r="BI371" s="57"/>
      <c r="BJ371" s="57"/>
      <c r="BK371" s="57"/>
      <c r="BL371" s="57"/>
      <c r="BM371" s="57"/>
      <c r="BN371" s="57"/>
      <c r="BO371" s="57"/>
      <c r="BP371" s="57"/>
      <c r="BQ371" s="57"/>
      <c r="BR371" s="57"/>
    </row>
    <row r="372" spans="1:70" x14ac:dyDescent="0.25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W372" s="57"/>
      <c r="X372" s="57"/>
      <c r="Y372" s="57"/>
      <c r="Z372" s="57"/>
      <c r="AA372" s="57"/>
      <c r="AB372" s="57"/>
      <c r="AC372" s="57"/>
      <c r="AD372" s="57"/>
      <c r="AE372" s="57"/>
      <c r="AF372" s="57"/>
      <c r="AG372" s="57"/>
      <c r="AH372" s="57"/>
      <c r="AI372" s="57"/>
      <c r="AJ372" s="57"/>
      <c r="AK372" s="57"/>
      <c r="AL372" s="57"/>
      <c r="AM372" s="57"/>
      <c r="AN372" s="57"/>
      <c r="AO372" s="57"/>
      <c r="AP372" s="57"/>
      <c r="AQ372" s="57"/>
      <c r="AT372" s="57"/>
      <c r="AU372" s="57"/>
      <c r="AV372" s="57"/>
      <c r="AW372" s="57"/>
      <c r="AX372" s="57"/>
      <c r="AY372" s="57"/>
      <c r="AZ372" s="57"/>
      <c r="BA372" s="57"/>
      <c r="BB372" s="57"/>
      <c r="BC372" s="57"/>
      <c r="BD372" s="57"/>
      <c r="BE372" s="57"/>
      <c r="BF372" s="57"/>
      <c r="BG372" s="57"/>
      <c r="BH372" s="57"/>
      <c r="BI372" s="57"/>
      <c r="BJ372" s="57"/>
      <c r="BK372" s="57"/>
      <c r="BL372" s="57"/>
      <c r="BM372" s="57"/>
      <c r="BN372" s="57"/>
      <c r="BO372" s="57"/>
      <c r="BP372" s="57"/>
      <c r="BQ372" s="57"/>
      <c r="BR372" s="57"/>
    </row>
    <row r="373" spans="1:70" x14ac:dyDescent="0.25">
      <c r="A373" s="57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M373" s="57"/>
      <c r="N373" s="57"/>
      <c r="O373" s="57"/>
      <c r="P373" s="57"/>
      <c r="X373" s="57"/>
      <c r="Y373" s="57"/>
      <c r="Z373" s="57"/>
      <c r="AA373" s="57"/>
      <c r="AB373" s="57"/>
      <c r="AC373" s="57"/>
      <c r="AD373" s="57"/>
      <c r="AE373" s="57"/>
      <c r="AF373" s="57"/>
      <c r="AG373" s="57"/>
      <c r="AH373" s="57"/>
      <c r="AI373" s="57"/>
      <c r="AJ373" s="57"/>
      <c r="AK373" s="57"/>
      <c r="AL373" s="57"/>
      <c r="AM373" s="57"/>
      <c r="AN373" s="57"/>
      <c r="AO373" s="57"/>
      <c r="AP373" s="57"/>
      <c r="AQ373" s="57"/>
      <c r="AT373" s="57"/>
      <c r="AU373" s="57"/>
      <c r="AV373" s="57"/>
      <c r="AW373" s="57"/>
      <c r="AX373" s="57"/>
      <c r="AY373" s="57"/>
      <c r="AZ373" s="57"/>
      <c r="BA373" s="57"/>
      <c r="BB373" s="57"/>
      <c r="BC373" s="57"/>
      <c r="BD373" s="57"/>
      <c r="BE373" s="57"/>
      <c r="BF373" s="57"/>
      <c r="BG373" s="57"/>
      <c r="BH373" s="57"/>
      <c r="BI373" s="57"/>
      <c r="BJ373" s="57"/>
      <c r="BK373" s="57"/>
      <c r="BL373" s="57"/>
      <c r="BM373" s="57"/>
      <c r="BN373" s="57"/>
      <c r="BO373" s="57"/>
      <c r="BP373" s="57"/>
      <c r="BQ373" s="57"/>
      <c r="BR373" s="57"/>
    </row>
  </sheetData>
  <sheetProtection selectLockedCells="1"/>
  <sortState ref="P58:P87">
    <sortCondition ref="P58"/>
  </sortState>
  <mergeCells count="3">
    <mergeCell ref="A1:P1"/>
    <mergeCell ref="AA119:AF119"/>
    <mergeCell ref="AG119:AO119"/>
  </mergeCells>
  <dataValidations xWindow="360" yWindow="210" count="16">
    <dataValidation type="list" errorStyle="warning" allowBlank="1" showInputMessage="1" showErrorMessage="1" prompt="Use drop down box to select from your team list once Team 1 in selected in cell B3_x000a_" sqref="B8:B19">
      <formula1>INDIRECT(B$3)</formula1>
    </dataValidation>
    <dataValidation type="list" allowBlank="1" showInputMessage="1" showErrorMessage="1" prompt="Bowlers names are available from the team list once the fielding team has been entered into cell B4" sqref="D26:D36">
      <formula1>INDIRECT(B$4)</formula1>
    </dataValidation>
    <dataValidation type="list" allowBlank="1" showInputMessage="1" showErrorMessage="1" prompt="Fielders are available from their club list once the fielding team is selected in cell B4" sqref="D8:D18">
      <formula1>INDIRECT(B$4)</formula1>
    </dataValidation>
    <dataValidation type="list" allowBlank="1" showInputMessage="1" showErrorMessage="1" prompt="Fielders are available from their club list once the fielding team is selected in cell B4" sqref="C34:C35">
      <formula1>INDIRECT(B$4)</formula1>
    </dataValidation>
    <dataValidation type="list" allowBlank="1" showInputMessage="1" showErrorMessage="1" prompt="select team winning toss from those entered in B3 and B4" sqref="H3">
      <formula1>$B$3:$B$4</formula1>
    </dataValidation>
    <dataValidation type="list" allowBlank="1" showInputMessage="1" showErrorMessage="1" prompt="The not out batsman still at the crease_x000a_" sqref="P8:P18">
      <formula1>$B$8:$B$18</formula1>
    </dataValidation>
    <dataValidation type="list" allowBlank="1" showInputMessage="1" showErrorMessage="1" prompt="bowlers must be entered in the bowling section before they are available here" sqref="E8:E18">
      <formula1>$D$26:$D$36</formula1>
    </dataValidation>
    <dataValidation type="list" allowBlank="1" showInputMessage="1" showErrorMessage="1" prompt="select team batting second" sqref="B4">
      <formula1>$A$40:$A$55</formula1>
    </dataValidation>
    <dataValidation type="list" allowBlank="1" showInputMessage="1" showErrorMessage="1" prompt="select the choice of the toss winner_x000a_" sqref="H4">
      <formula1>$B$40:$B$41</formula1>
    </dataValidation>
    <dataValidation type="list" allowBlank="1" showInputMessage="1" showErrorMessage="1" prompt="select game type from list_x000a_" sqref="B2">
      <formula1>$C$40:$C$42</formula1>
    </dataValidation>
    <dataValidation type="list" allowBlank="1" showInputMessage="1" showErrorMessage="1" prompt="select ground" sqref="B5">
      <formula1>$B$45:$B$50</formula1>
    </dataValidation>
    <dataValidation type="list" allowBlank="1" showInputMessage="1" showErrorMessage="1" prompt="Select method of dismissal from list_x000a_" sqref="C8:C18">
      <formula1>$C$45:$C$54</formula1>
    </dataValidation>
    <dataValidation type="list" allowBlank="1" showInputMessage="1" showErrorMessage="1" prompt="The dismissed batsman" sqref="O8:O18">
      <formula1>$B$8:$B$18</formula1>
    </dataValidation>
    <dataValidation allowBlank="1" showInputMessage="1" showErrorMessage="1" prompt="These cells automatically fill out when the runs and BF are filled in._x000a_" sqref="H8:H18"/>
    <dataValidation type="list" allowBlank="1" showInputMessage="1" showErrorMessage="1" prompt="select team batting first" sqref="B3">
      <formula1>$A$40:$A$55</formula1>
    </dataValidation>
    <dataValidation type="list" allowBlank="1" showInputMessage="1" showErrorMessage="1" sqref="F22">
      <formula1>$D$45:$D$48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73"/>
  <sheetViews>
    <sheetView topLeftCell="A58" zoomScale="75" zoomScaleNormal="75" workbookViewId="0">
      <selection activeCell="C98" sqref="C98"/>
    </sheetView>
  </sheetViews>
  <sheetFormatPr defaultRowHeight="15" x14ac:dyDescent="0.25"/>
  <cols>
    <col min="1" max="1" width="9.140625" style="19"/>
    <col min="2" max="2" width="27" style="19" customWidth="1"/>
    <col min="3" max="3" width="18.28515625" style="19" customWidth="1"/>
    <col min="4" max="4" width="21" style="19" customWidth="1"/>
    <col min="5" max="5" width="17.7109375" style="19" customWidth="1"/>
    <col min="6" max="6" width="4.42578125" style="19" customWidth="1"/>
    <col min="7" max="7" width="4.85546875" style="19" customWidth="1"/>
    <col min="8" max="8" width="8.28515625" style="19" customWidth="1"/>
    <col min="9" max="9" width="3.85546875" style="19" customWidth="1"/>
    <col min="10" max="10" width="4.85546875" style="19" customWidth="1"/>
    <col min="11" max="16384" width="9.140625" style="19"/>
  </cols>
  <sheetData>
    <row r="1" spans="1:17" ht="26.25" x14ac:dyDescent="0.4">
      <c r="A1" s="168" t="s">
        <v>107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</row>
    <row r="2" spans="1:17" x14ac:dyDescent="0.25">
      <c r="A2" s="19" t="s">
        <v>55</v>
      </c>
      <c r="B2" s="5"/>
      <c r="E2" s="19" t="s">
        <v>0</v>
      </c>
      <c r="F2" s="147"/>
      <c r="I2" s="20"/>
      <c r="K2" s="148" t="s">
        <v>65</v>
      </c>
      <c r="L2" s="6"/>
      <c r="M2" s="6"/>
      <c r="N2" s="6"/>
      <c r="O2" s="6"/>
      <c r="P2" s="7"/>
    </row>
    <row r="3" spans="1:17" x14ac:dyDescent="0.25">
      <c r="A3" s="19" t="s">
        <v>3</v>
      </c>
      <c r="B3" s="5"/>
      <c r="E3" s="19" t="s">
        <v>2</v>
      </c>
      <c r="F3" s="5"/>
      <c r="I3" s="20"/>
      <c r="K3" s="149"/>
      <c r="L3" s="8"/>
      <c r="M3" s="8"/>
      <c r="N3" s="8"/>
      <c r="O3" s="8"/>
      <c r="P3" s="9"/>
    </row>
    <row r="4" spans="1:17" x14ac:dyDescent="0.25">
      <c r="A4" s="19" t="s">
        <v>4</v>
      </c>
      <c r="B4" s="5"/>
      <c r="E4" s="19" t="s">
        <v>1</v>
      </c>
      <c r="F4" s="5"/>
      <c r="I4" s="20"/>
      <c r="K4" s="150"/>
      <c r="L4" s="10"/>
      <c r="M4" s="10"/>
      <c r="N4" s="10"/>
      <c r="O4" s="10"/>
      <c r="P4" s="11"/>
    </row>
    <row r="5" spans="1:17" x14ac:dyDescent="0.25">
      <c r="A5" s="19" t="s">
        <v>59</v>
      </c>
      <c r="B5" s="5"/>
    </row>
    <row r="6" spans="1:17" ht="15.75" thickBot="1" x14ac:dyDescent="0.3">
      <c r="A6" s="19" t="s">
        <v>34</v>
      </c>
      <c r="K6" s="19" t="s">
        <v>18</v>
      </c>
    </row>
    <row r="7" spans="1:17" x14ac:dyDescent="0.25">
      <c r="A7" s="21" t="s">
        <v>6</v>
      </c>
      <c r="B7" s="22" t="s">
        <v>7</v>
      </c>
      <c r="C7" s="22" t="s">
        <v>8</v>
      </c>
      <c r="D7" s="22" t="s">
        <v>66</v>
      </c>
      <c r="E7" s="22" t="s">
        <v>9</v>
      </c>
      <c r="F7" s="22" t="s">
        <v>10</v>
      </c>
      <c r="G7" s="22" t="s">
        <v>12</v>
      </c>
      <c r="H7" s="22" t="s">
        <v>28</v>
      </c>
      <c r="I7" s="22" t="s">
        <v>11</v>
      </c>
      <c r="J7" s="22" t="s">
        <v>13</v>
      </c>
      <c r="K7" s="154" t="s">
        <v>80</v>
      </c>
      <c r="M7" s="23" t="s">
        <v>20</v>
      </c>
      <c r="N7" s="24" t="s">
        <v>19</v>
      </c>
      <c r="O7" s="24" t="s">
        <v>73</v>
      </c>
      <c r="P7" s="25" t="s">
        <v>74</v>
      </c>
      <c r="Q7" s="108" t="s">
        <v>179</v>
      </c>
    </row>
    <row r="8" spans="1:17" x14ac:dyDescent="0.25">
      <c r="A8" s="26">
        <v>1</v>
      </c>
      <c r="B8" s="8"/>
      <c r="C8" s="8"/>
      <c r="D8" s="71"/>
      <c r="E8" s="71"/>
      <c r="F8" s="8"/>
      <c r="G8" s="8"/>
      <c r="H8" s="4" t="e">
        <f>100*F8/G8</f>
        <v>#DIV/0!</v>
      </c>
      <c r="I8" s="83"/>
      <c r="J8" s="8"/>
      <c r="K8" s="93"/>
      <c r="M8" s="27">
        <v>1</v>
      </c>
      <c r="N8" s="8"/>
      <c r="O8" s="8"/>
      <c r="P8" s="9"/>
      <c r="Q8" s="91">
        <f>N8</f>
        <v>0</v>
      </c>
    </row>
    <row r="9" spans="1:17" x14ac:dyDescent="0.25">
      <c r="A9" s="26">
        <v>2</v>
      </c>
      <c r="B9" s="8"/>
      <c r="C9" s="8"/>
      <c r="D9" s="71"/>
      <c r="E9" s="71"/>
      <c r="F9" s="8"/>
      <c r="G9" s="8"/>
      <c r="H9" s="4" t="e">
        <f t="shared" ref="H9:H18" si="0">100*F9/G9</f>
        <v>#DIV/0!</v>
      </c>
      <c r="I9" s="83"/>
      <c r="J9" s="8"/>
      <c r="K9" s="93"/>
      <c r="M9" s="27">
        <v>2</v>
      </c>
      <c r="N9" s="8"/>
      <c r="O9" s="8"/>
      <c r="P9" s="9"/>
      <c r="Q9" s="91">
        <f>N9-N8</f>
        <v>0</v>
      </c>
    </row>
    <row r="10" spans="1:17" x14ac:dyDescent="0.25">
      <c r="A10" s="26">
        <v>3</v>
      </c>
      <c r="B10" s="8"/>
      <c r="C10" s="8"/>
      <c r="D10" s="71"/>
      <c r="E10" s="71"/>
      <c r="F10" s="8"/>
      <c r="G10" s="8"/>
      <c r="H10" s="4" t="e">
        <f t="shared" si="0"/>
        <v>#DIV/0!</v>
      </c>
      <c r="I10" s="83"/>
      <c r="J10" s="8"/>
      <c r="K10" s="93"/>
      <c r="M10" s="27">
        <v>3</v>
      </c>
      <c r="N10" s="8"/>
      <c r="O10" s="8"/>
      <c r="P10" s="9"/>
      <c r="Q10" s="91">
        <f t="shared" ref="Q10:Q17" si="1">N10-N9</f>
        <v>0</v>
      </c>
    </row>
    <row r="11" spans="1:17" x14ac:dyDescent="0.25">
      <c r="A11" s="26">
        <v>4</v>
      </c>
      <c r="B11" s="8"/>
      <c r="C11" s="8"/>
      <c r="D11" s="71"/>
      <c r="E11" s="71"/>
      <c r="F11" s="8"/>
      <c r="G11" s="8"/>
      <c r="H11" s="4" t="e">
        <f t="shared" si="0"/>
        <v>#DIV/0!</v>
      </c>
      <c r="I11" s="83"/>
      <c r="J11" s="8"/>
      <c r="K11" s="93"/>
      <c r="M11" s="27">
        <v>4</v>
      </c>
      <c r="N11" s="8"/>
      <c r="O11" s="8"/>
      <c r="P11" s="9"/>
      <c r="Q11" s="91">
        <f t="shared" si="1"/>
        <v>0</v>
      </c>
    </row>
    <row r="12" spans="1:17" x14ac:dyDescent="0.25">
      <c r="A12" s="26">
        <v>5</v>
      </c>
      <c r="B12" s="8"/>
      <c r="C12" s="8"/>
      <c r="D12" s="71"/>
      <c r="E12" s="71"/>
      <c r="F12" s="8"/>
      <c r="G12" s="8"/>
      <c r="H12" s="4" t="e">
        <f t="shared" si="0"/>
        <v>#DIV/0!</v>
      </c>
      <c r="I12" s="83"/>
      <c r="J12" s="8"/>
      <c r="K12" s="93"/>
      <c r="M12" s="27">
        <v>5</v>
      </c>
      <c r="N12" s="8"/>
      <c r="O12" s="8"/>
      <c r="P12" s="9"/>
      <c r="Q12" s="91">
        <f t="shared" si="1"/>
        <v>0</v>
      </c>
    </row>
    <row r="13" spans="1:17" x14ac:dyDescent="0.25">
      <c r="A13" s="26">
        <v>6</v>
      </c>
      <c r="B13" s="8"/>
      <c r="C13" s="8"/>
      <c r="D13" s="71"/>
      <c r="E13" s="71"/>
      <c r="F13" s="8"/>
      <c r="G13" s="8"/>
      <c r="H13" s="4" t="e">
        <f t="shared" si="0"/>
        <v>#DIV/0!</v>
      </c>
      <c r="I13" s="83"/>
      <c r="J13" s="8"/>
      <c r="K13" s="93"/>
      <c r="M13" s="27">
        <v>6</v>
      </c>
      <c r="N13" s="8"/>
      <c r="O13" s="8"/>
      <c r="P13" s="9"/>
      <c r="Q13" s="91">
        <f t="shared" si="1"/>
        <v>0</v>
      </c>
    </row>
    <row r="14" spans="1:17" x14ac:dyDescent="0.25">
      <c r="A14" s="26">
        <v>7</v>
      </c>
      <c r="B14" s="8"/>
      <c r="C14" s="8"/>
      <c r="D14" s="71"/>
      <c r="E14" s="71"/>
      <c r="F14" s="8"/>
      <c r="G14" s="8"/>
      <c r="H14" s="4" t="e">
        <f t="shared" si="0"/>
        <v>#DIV/0!</v>
      </c>
      <c r="I14" s="83"/>
      <c r="J14" s="8"/>
      <c r="K14" s="93"/>
      <c r="M14" s="27">
        <v>7</v>
      </c>
      <c r="N14" s="8"/>
      <c r="O14" s="8"/>
      <c r="P14" s="9"/>
      <c r="Q14" s="91">
        <f t="shared" si="1"/>
        <v>0</v>
      </c>
    </row>
    <row r="15" spans="1:17" x14ac:dyDescent="0.25">
      <c r="A15" s="26">
        <v>8</v>
      </c>
      <c r="B15" s="8"/>
      <c r="C15" s="8"/>
      <c r="D15" s="71"/>
      <c r="E15" s="71"/>
      <c r="F15" s="8"/>
      <c r="G15" s="8"/>
      <c r="H15" s="4" t="e">
        <f t="shared" si="0"/>
        <v>#DIV/0!</v>
      </c>
      <c r="I15" s="83"/>
      <c r="J15" s="8"/>
      <c r="K15" s="93"/>
      <c r="M15" s="27">
        <v>8</v>
      </c>
      <c r="N15" s="8"/>
      <c r="O15" s="8"/>
      <c r="P15" s="9"/>
      <c r="Q15" s="91">
        <f t="shared" si="1"/>
        <v>0</v>
      </c>
    </row>
    <row r="16" spans="1:17" x14ac:dyDescent="0.25">
      <c r="A16" s="26">
        <v>9</v>
      </c>
      <c r="B16" s="8"/>
      <c r="C16" s="8"/>
      <c r="D16" s="71"/>
      <c r="E16" s="71"/>
      <c r="F16" s="8"/>
      <c r="G16" s="8"/>
      <c r="H16" s="4" t="e">
        <f t="shared" si="0"/>
        <v>#DIV/0!</v>
      </c>
      <c r="I16" s="83"/>
      <c r="J16" s="8"/>
      <c r="K16" s="93"/>
      <c r="M16" s="27">
        <v>9</v>
      </c>
      <c r="N16" s="8"/>
      <c r="O16" s="8"/>
      <c r="P16" s="9"/>
      <c r="Q16" s="91">
        <f t="shared" si="1"/>
        <v>0</v>
      </c>
    </row>
    <row r="17" spans="1:17" x14ac:dyDescent="0.25">
      <c r="A17" s="26">
        <v>10</v>
      </c>
      <c r="B17" s="8"/>
      <c r="C17" s="8"/>
      <c r="D17" s="71"/>
      <c r="E17" s="71"/>
      <c r="F17" s="8"/>
      <c r="G17" s="8"/>
      <c r="H17" s="4" t="e">
        <f t="shared" si="0"/>
        <v>#DIV/0!</v>
      </c>
      <c r="I17" s="83"/>
      <c r="J17" s="8"/>
      <c r="K17" s="93"/>
      <c r="M17" s="27">
        <v>10</v>
      </c>
      <c r="N17" s="8"/>
      <c r="O17" s="8"/>
      <c r="P17" s="9"/>
      <c r="Q17" s="91">
        <f t="shared" si="1"/>
        <v>0</v>
      </c>
    </row>
    <row r="18" spans="1:17" x14ac:dyDescent="0.25">
      <c r="A18" s="26">
        <v>11</v>
      </c>
      <c r="B18" s="8"/>
      <c r="C18" s="8"/>
      <c r="D18" s="71"/>
      <c r="E18" s="71"/>
      <c r="F18" s="8"/>
      <c r="G18" s="8"/>
      <c r="H18" s="4" t="e">
        <f t="shared" si="0"/>
        <v>#DIV/0!</v>
      </c>
      <c r="I18" s="83"/>
      <c r="J18" s="8"/>
      <c r="K18" s="93"/>
      <c r="M18" s="155" t="s">
        <v>185</v>
      </c>
      <c r="N18" s="132">
        <f>F20</f>
        <v>0</v>
      </c>
      <c r="O18" s="13"/>
      <c r="P18" s="13"/>
      <c r="Q18" s="91">
        <f>N18-MAX(N8:N17)</f>
        <v>0</v>
      </c>
    </row>
    <row r="19" spans="1:17" ht="15.75" thickBot="1" x14ac:dyDescent="0.3">
      <c r="A19" s="29" t="s">
        <v>88</v>
      </c>
      <c r="B19" s="151"/>
      <c r="C19" s="30"/>
      <c r="D19" s="30"/>
      <c r="E19" s="31" t="s">
        <v>78</v>
      </c>
      <c r="F19" s="30">
        <f>SUM(D20:D23)</f>
        <v>0</v>
      </c>
      <c r="G19" s="30"/>
      <c r="H19" s="30"/>
      <c r="I19" s="30"/>
      <c r="J19" s="30"/>
      <c r="K19" s="32"/>
      <c r="Q19" s="91"/>
    </row>
    <row r="20" spans="1:17" ht="15.75" thickBot="1" x14ac:dyDescent="0.3">
      <c r="A20" s="33" t="s">
        <v>14</v>
      </c>
      <c r="B20" s="30"/>
      <c r="C20" s="30"/>
      <c r="D20" s="13"/>
      <c r="E20" s="34" t="s">
        <v>77</v>
      </c>
      <c r="F20" s="35">
        <f>SUM(F8:F19)</f>
        <v>0</v>
      </c>
      <c r="G20" s="36" t="s">
        <v>75</v>
      </c>
      <c r="H20" s="37">
        <f>COUNTA(C8:C18)-COUNTIF(C8:C18,"Not Out")</f>
        <v>0</v>
      </c>
      <c r="I20" s="38" t="s">
        <v>76</v>
      </c>
      <c r="J20" s="39"/>
      <c r="K20" s="32"/>
      <c r="M20" s="23" t="s">
        <v>35</v>
      </c>
      <c r="N20" s="6"/>
      <c r="O20" s="6"/>
      <c r="P20" s="7"/>
    </row>
    <row r="21" spans="1:17" ht="15.75" thickBot="1" x14ac:dyDescent="0.3">
      <c r="A21" s="33" t="s">
        <v>15</v>
      </c>
      <c r="B21" s="30"/>
      <c r="C21" s="30"/>
      <c r="D21" s="13"/>
      <c r="E21" s="40"/>
      <c r="F21" s="30"/>
      <c r="G21" s="30"/>
      <c r="H21" s="30"/>
      <c r="I21" s="30"/>
      <c r="J21" s="30"/>
      <c r="K21" s="32"/>
      <c r="M21" s="28" t="s">
        <v>36</v>
      </c>
      <c r="N21" s="10"/>
      <c r="O21" s="10"/>
      <c r="P21" s="11"/>
    </row>
    <row r="22" spans="1:17" ht="15.75" thickBot="1" x14ac:dyDescent="0.3">
      <c r="A22" s="33" t="s">
        <v>16</v>
      </c>
      <c r="B22" s="30"/>
      <c r="C22" s="30"/>
      <c r="D22" s="13"/>
      <c r="E22" s="31" t="s">
        <v>208</v>
      </c>
      <c r="F22" s="131"/>
      <c r="G22" s="30"/>
      <c r="H22" s="30"/>
      <c r="I22" s="30"/>
      <c r="J22" s="30"/>
      <c r="K22" s="32"/>
    </row>
    <row r="23" spans="1:17" ht="15.75" thickBot="1" x14ac:dyDescent="0.3">
      <c r="A23" s="41" t="s">
        <v>17</v>
      </c>
      <c r="B23" s="42"/>
      <c r="C23" s="42"/>
      <c r="D23" s="14"/>
      <c r="E23" s="42"/>
      <c r="F23" s="42"/>
      <c r="G23" s="42"/>
      <c r="H23" s="42"/>
      <c r="I23" s="42"/>
      <c r="J23" s="42"/>
      <c r="K23" s="43"/>
      <c r="M23" s="44" t="s">
        <v>50</v>
      </c>
      <c r="N23" s="45"/>
      <c r="O23" s="45"/>
      <c r="P23" s="46" t="str">
        <f>IF(F20-D22-D23-G37=0,"PASS","FAIL")</f>
        <v>PASS</v>
      </c>
    </row>
    <row r="24" spans="1:17" ht="15.75" thickBot="1" x14ac:dyDescent="0.3"/>
    <row r="25" spans="1:17" x14ac:dyDescent="0.25">
      <c r="D25" s="21" t="s">
        <v>82</v>
      </c>
      <c r="E25" s="47" t="s">
        <v>22</v>
      </c>
      <c r="F25" s="48" t="s">
        <v>23</v>
      </c>
      <c r="G25" s="48" t="s">
        <v>24</v>
      </c>
      <c r="H25" s="48" t="s">
        <v>25</v>
      </c>
      <c r="I25" s="48" t="s">
        <v>26</v>
      </c>
      <c r="J25" s="49" t="s">
        <v>27</v>
      </c>
      <c r="K25" s="22" t="s">
        <v>29</v>
      </c>
      <c r="L25" s="50" t="s">
        <v>30</v>
      </c>
      <c r="M25" s="156" t="s">
        <v>80</v>
      </c>
      <c r="N25" s="156" t="s">
        <v>184</v>
      </c>
      <c r="O25" s="157"/>
    </row>
    <row r="26" spans="1:17" x14ac:dyDescent="0.25">
      <c r="B26" s="51" t="s">
        <v>31</v>
      </c>
      <c r="D26" s="73"/>
      <c r="E26" s="74"/>
      <c r="F26" s="75"/>
      <c r="G26" s="75"/>
      <c r="H26" s="75"/>
      <c r="I26" s="76"/>
      <c r="J26" s="77"/>
      <c r="K26" s="30" t="e">
        <f>G26/H26</f>
        <v>#DIV/0!</v>
      </c>
      <c r="L26" s="32" t="e">
        <f>G26/E26</f>
        <v>#DIV/0!</v>
      </c>
      <c r="M26" s="152"/>
      <c r="N26" s="152"/>
      <c r="O26" s="158"/>
    </row>
    <row r="27" spans="1:17" x14ac:dyDescent="0.25">
      <c r="B27" s="15"/>
      <c r="D27" s="73"/>
      <c r="E27" s="74"/>
      <c r="F27" s="75"/>
      <c r="G27" s="75"/>
      <c r="H27" s="75"/>
      <c r="I27" s="76"/>
      <c r="J27" s="77"/>
      <c r="K27" s="30" t="e">
        <f t="shared" ref="K27:K36" si="2">G27/H27</f>
        <v>#DIV/0!</v>
      </c>
      <c r="L27" s="32" t="e">
        <f t="shared" ref="L27:L36" si="3">G27/E27</f>
        <v>#DIV/0!</v>
      </c>
      <c r="M27" s="152"/>
      <c r="N27" s="152"/>
      <c r="O27" s="158"/>
    </row>
    <row r="28" spans="1:17" x14ac:dyDescent="0.25">
      <c r="B28" s="16"/>
      <c r="D28" s="73"/>
      <c r="E28" s="74"/>
      <c r="F28" s="75"/>
      <c r="G28" s="75"/>
      <c r="H28" s="75"/>
      <c r="I28" s="76"/>
      <c r="J28" s="77"/>
      <c r="K28" s="30" t="e">
        <f t="shared" si="2"/>
        <v>#DIV/0!</v>
      </c>
      <c r="L28" s="32" t="e">
        <f t="shared" si="3"/>
        <v>#DIV/0!</v>
      </c>
      <c r="M28" s="152"/>
      <c r="N28" s="152"/>
      <c r="O28" s="158"/>
    </row>
    <row r="29" spans="1:17" x14ac:dyDescent="0.25">
      <c r="D29" s="73"/>
      <c r="E29" s="74"/>
      <c r="F29" s="75"/>
      <c r="G29" s="75"/>
      <c r="H29" s="75"/>
      <c r="I29" s="76"/>
      <c r="J29" s="77"/>
      <c r="K29" s="30" t="e">
        <f t="shared" si="2"/>
        <v>#DIV/0!</v>
      </c>
      <c r="L29" s="32" t="e">
        <f t="shared" si="3"/>
        <v>#DIV/0!</v>
      </c>
      <c r="M29" s="152"/>
      <c r="N29" s="152"/>
      <c r="O29" s="158"/>
    </row>
    <row r="30" spans="1:17" x14ac:dyDescent="0.25">
      <c r="B30" s="51" t="s">
        <v>32</v>
      </c>
      <c r="D30" s="73"/>
      <c r="E30" s="74"/>
      <c r="F30" s="75"/>
      <c r="G30" s="75"/>
      <c r="H30" s="75"/>
      <c r="I30" s="76"/>
      <c r="J30" s="77"/>
      <c r="K30" s="30" t="e">
        <f t="shared" si="2"/>
        <v>#DIV/0!</v>
      </c>
      <c r="L30" s="32" t="e">
        <f t="shared" si="3"/>
        <v>#DIV/0!</v>
      </c>
      <c r="M30" s="152"/>
      <c r="N30" s="152"/>
      <c r="O30" s="158"/>
    </row>
    <row r="31" spans="1:17" x14ac:dyDescent="0.25">
      <c r="B31" s="15"/>
      <c r="D31" s="73"/>
      <c r="E31" s="74"/>
      <c r="F31" s="75"/>
      <c r="G31" s="75"/>
      <c r="H31" s="75"/>
      <c r="I31" s="76"/>
      <c r="J31" s="77"/>
      <c r="K31" s="30" t="e">
        <f t="shared" si="2"/>
        <v>#DIV/0!</v>
      </c>
      <c r="L31" s="32" t="e">
        <f t="shared" si="3"/>
        <v>#DIV/0!</v>
      </c>
      <c r="M31" s="152"/>
      <c r="N31" s="152"/>
      <c r="O31" s="158"/>
    </row>
    <row r="32" spans="1:17" x14ac:dyDescent="0.25">
      <c r="B32" s="16"/>
      <c r="D32" s="73"/>
      <c r="E32" s="74"/>
      <c r="F32" s="75"/>
      <c r="G32" s="75"/>
      <c r="H32" s="75"/>
      <c r="I32" s="76"/>
      <c r="J32" s="77"/>
      <c r="K32" s="30" t="e">
        <f t="shared" si="2"/>
        <v>#DIV/0!</v>
      </c>
      <c r="L32" s="32" t="e">
        <f t="shared" si="3"/>
        <v>#DIV/0!</v>
      </c>
      <c r="M32" s="152"/>
      <c r="N32" s="152"/>
      <c r="O32" s="158"/>
    </row>
    <row r="33" spans="1:15" x14ac:dyDescent="0.25">
      <c r="D33" s="73"/>
      <c r="E33" s="74"/>
      <c r="F33" s="75"/>
      <c r="G33" s="75"/>
      <c r="H33" s="75"/>
      <c r="I33" s="76"/>
      <c r="J33" s="77"/>
      <c r="K33" s="30" t="e">
        <f t="shared" si="2"/>
        <v>#DIV/0!</v>
      </c>
      <c r="L33" s="32" t="e">
        <f t="shared" si="3"/>
        <v>#DIV/0!</v>
      </c>
      <c r="M33" s="152"/>
      <c r="N33" s="152"/>
      <c r="O33" s="158"/>
    </row>
    <row r="34" spans="1:15" x14ac:dyDescent="0.25">
      <c r="B34" s="23" t="s">
        <v>33</v>
      </c>
      <c r="C34" s="70"/>
      <c r="D34" s="73"/>
      <c r="E34" s="74"/>
      <c r="F34" s="75"/>
      <c r="G34" s="75"/>
      <c r="H34" s="75"/>
      <c r="I34" s="76"/>
      <c r="J34" s="77"/>
      <c r="K34" s="30" t="e">
        <f t="shared" si="2"/>
        <v>#DIV/0!</v>
      </c>
      <c r="L34" s="32" t="e">
        <f t="shared" si="3"/>
        <v>#DIV/0!</v>
      </c>
      <c r="M34" s="152"/>
      <c r="N34" s="152"/>
      <c r="O34" s="158"/>
    </row>
    <row r="35" spans="1:15" x14ac:dyDescent="0.25">
      <c r="B35" s="28" t="s">
        <v>81</v>
      </c>
      <c r="C35" s="72"/>
      <c r="D35" s="73"/>
      <c r="E35" s="74"/>
      <c r="F35" s="75"/>
      <c r="G35" s="75"/>
      <c r="H35" s="75"/>
      <c r="I35" s="76"/>
      <c r="J35" s="77"/>
      <c r="K35" s="30" t="e">
        <f t="shared" si="2"/>
        <v>#DIV/0!</v>
      </c>
      <c r="L35" s="32" t="e">
        <f t="shared" si="3"/>
        <v>#DIV/0!</v>
      </c>
      <c r="M35" s="152"/>
      <c r="N35" s="152"/>
      <c r="O35" s="158"/>
    </row>
    <row r="36" spans="1:15" ht="15.75" thickBot="1" x14ac:dyDescent="0.3">
      <c r="D36" s="78"/>
      <c r="E36" s="79"/>
      <c r="F36" s="80"/>
      <c r="G36" s="80"/>
      <c r="H36" s="80"/>
      <c r="I36" s="81"/>
      <c r="J36" s="82"/>
      <c r="K36" s="42" t="e">
        <f t="shared" si="2"/>
        <v>#DIV/0!</v>
      </c>
      <c r="L36" s="43" t="e">
        <f t="shared" si="3"/>
        <v>#DIV/0!</v>
      </c>
      <c r="M36" s="153"/>
      <c r="N36" s="153"/>
      <c r="O36" s="159"/>
    </row>
    <row r="37" spans="1:15" x14ac:dyDescent="0.25">
      <c r="D37" s="19" t="s">
        <v>49</v>
      </c>
      <c r="E37" s="19">
        <f t="shared" ref="E37:J37" si="4">SUM(E26:E36)</f>
        <v>0</v>
      </c>
      <c r="F37" s="86">
        <f t="shared" si="4"/>
        <v>0</v>
      </c>
      <c r="G37" s="86">
        <f t="shared" si="4"/>
        <v>0</v>
      </c>
      <c r="H37" s="86">
        <f t="shared" si="4"/>
        <v>0</v>
      </c>
      <c r="I37" s="52">
        <f t="shared" si="4"/>
        <v>0</v>
      </c>
      <c r="J37" s="53">
        <f t="shared" si="4"/>
        <v>0</v>
      </c>
    </row>
    <row r="38" spans="1:15" ht="204" customHeight="1" x14ac:dyDescent="0.25"/>
    <row r="39" spans="1:15" x14ac:dyDescent="0.25">
      <c r="A39" s="54" t="s">
        <v>37</v>
      </c>
      <c r="B39" s="54" t="s">
        <v>1</v>
      </c>
      <c r="C39" s="54" t="s">
        <v>55</v>
      </c>
    </row>
    <row r="40" spans="1:15" x14ac:dyDescent="0.25">
      <c r="A40" s="55" t="s">
        <v>38</v>
      </c>
      <c r="B40" s="55" t="s">
        <v>54</v>
      </c>
      <c r="C40" s="55" t="s">
        <v>56</v>
      </c>
    </row>
    <row r="41" spans="1:15" x14ac:dyDescent="0.25">
      <c r="A41" s="54" t="s">
        <v>39</v>
      </c>
      <c r="B41" s="54" t="s">
        <v>51</v>
      </c>
      <c r="C41" s="54" t="s">
        <v>57</v>
      </c>
    </row>
    <row r="42" spans="1:15" x14ac:dyDescent="0.25">
      <c r="A42" s="54" t="s">
        <v>40</v>
      </c>
      <c r="B42" s="54"/>
      <c r="C42" s="54" t="s">
        <v>58</v>
      </c>
    </row>
    <row r="43" spans="1:15" x14ac:dyDescent="0.25">
      <c r="A43" s="54" t="s">
        <v>41</v>
      </c>
      <c r="B43" s="54"/>
      <c r="C43" s="54"/>
    </row>
    <row r="44" spans="1:15" x14ac:dyDescent="0.25">
      <c r="A44" s="54" t="s">
        <v>42</v>
      </c>
      <c r="B44" s="54" t="s">
        <v>59</v>
      </c>
      <c r="C44" s="54" t="s">
        <v>8</v>
      </c>
      <c r="D44" s="54" t="s">
        <v>208</v>
      </c>
    </row>
    <row r="45" spans="1:15" x14ac:dyDescent="0.25">
      <c r="A45" s="54" t="s">
        <v>43</v>
      </c>
      <c r="B45" s="55" t="s">
        <v>60</v>
      </c>
      <c r="C45" s="55" t="s">
        <v>52</v>
      </c>
      <c r="D45" s="58" t="s">
        <v>25</v>
      </c>
    </row>
    <row r="46" spans="1:15" x14ac:dyDescent="0.25">
      <c r="A46" s="54" t="s">
        <v>83</v>
      </c>
      <c r="B46" s="54" t="s">
        <v>44</v>
      </c>
      <c r="C46" s="54" t="s">
        <v>486</v>
      </c>
      <c r="D46" s="54" t="s">
        <v>207</v>
      </c>
    </row>
    <row r="47" spans="1:15" x14ac:dyDescent="0.25">
      <c r="A47" s="54" t="s">
        <v>44</v>
      </c>
      <c r="B47" s="54" t="s">
        <v>61</v>
      </c>
      <c r="C47" s="54" t="s">
        <v>67</v>
      </c>
      <c r="D47" s="54" t="s">
        <v>209</v>
      </c>
    </row>
    <row r="48" spans="1:15" x14ac:dyDescent="0.25">
      <c r="A48" s="54" t="s">
        <v>276</v>
      </c>
      <c r="B48" s="54" t="s">
        <v>62</v>
      </c>
      <c r="C48" s="54" t="s">
        <v>68</v>
      </c>
      <c r="D48" s="54" t="s">
        <v>210</v>
      </c>
    </row>
    <row r="49" spans="1:69" x14ac:dyDescent="0.25">
      <c r="A49" s="54" t="s">
        <v>45</v>
      </c>
      <c r="B49" s="54" t="s">
        <v>63</v>
      </c>
      <c r="C49" s="54" t="s">
        <v>53</v>
      </c>
    </row>
    <row r="50" spans="1:69" x14ac:dyDescent="0.25">
      <c r="A50" s="54" t="s">
        <v>85</v>
      </c>
      <c r="B50" s="54" t="s">
        <v>64</v>
      </c>
      <c r="C50" s="54" t="s">
        <v>69</v>
      </c>
    </row>
    <row r="51" spans="1:69" x14ac:dyDescent="0.25">
      <c r="A51" s="54" t="s">
        <v>213</v>
      </c>
      <c r="B51" s="54"/>
      <c r="C51" s="54" t="s">
        <v>70</v>
      </c>
    </row>
    <row r="52" spans="1:69" x14ac:dyDescent="0.25">
      <c r="A52" s="54" t="s">
        <v>87</v>
      </c>
      <c r="B52" s="54"/>
      <c r="C52" s="54" t="s">
        <v>71</v>
      </c>
    </row>
    <row r="53" spans="1:69" x14ac:dyDescent="0.25">
      <c r="A53" s="54" t="s">
        <v>46</v>
      </c>
      <c r="B53" s="54"/>
      <c r="C53" s="54" t="s">
        <v>72</v>
      </c>
    </row>
    <row r="54" spans="1:69" x14ac:dyDescent="0.25">
      <c r="A54" s="54" t="s">
        <v>47</v>
      </c>
      <c r="B54" s="54"/>
      <c r="C54" s="54" t="s">
        <v>21</v>
      </c>
    </row>
    <row r="55" spans="1:69" x14ac:dyDescent="0.25">
      <c r="A55" s="54" t="s">
        <v>48</v>
      </c>
      <c r="B55" s="54"/>
      <c r="C55" s="54"/>
    </row>
    <row r="57" spans="1:69" x14ac:dyDescent="0.25">
      <c r="A57" s="54" t="s">
        <v>38</v>
      </c>
      <c r="B57" s="54" t="s">
        <v>39</v>
      </c>
      <c r="C57" s="54" t="s">
        <v>40</v>
      </c>
      <c r="D57" s="54" t="s">
        <v>41</v>
      </c>
      <c r="E57" s="54" t="s">
        <v>42</v>
      </c>
      <c r="F57" s="54" t="s">
        <v>43</v>
      </c>
      <c r="G57" s="54" t="s">
        <v>83</v>
      </c>
      <c r="H57" s="54" t="s">
        <v>44</v>
      </c>
      <c r="I57" s="54" t="s">
        <v>276</v>
      </c>
      <c r="J57" s="54" t="s">
        <v>45</v>
      </c>
      <c r="K57" s="54" t="s">
        <v>85</v>
      </c>
      <c r="L57" s="54" t="s">
        <v>213</v>
      </c>
      <c r="M57" s="54" t="s">
        <v>87</v>
      </c>
      <c r="N57" s="54" t="s">
        <v>46</v>
      </c>
      <c r="O57" s="54" t="s">
        <v>47</v>
      </c>
      <c r="P57" s="54" t="s">
        <v>48</v>
      </c>
    </row>
    <row r="58" spans="1:69" x14ac:dyDescent="0.25">
      <c r="A58" s="17" t="str">
        <f>'1st Innings'!A58</f>
        <v>AMAN SINGH</v>
      </c>
      <c r="B58" s="17" t="str">
        <f>'1st Innings'!B58</f>
        <v>ANAND SRINIVASAN</v>
      </c>
      <c r="C58" s="17" t="str">
        <f>'1st Innings'!C58</f>
        <v>Akarsh Srivasthva</v>
      </c>
      <c r="D58" s="17" t="str">
        <f>'1st Innings'!D58</f>
        <v>Andrew Barnes</v>
      </c>
      <c r="E58" s="17" t="str">
        <f>'1st Innings'!E58</f>
        <v>Abhijit Kunte</v>
      </c>
      <c r="F58" s="17" t="str">
        <f>'1st Innings'!F58</f>
        <v>Amit Bhat</v>
      </c>
      <c r="G58" s="17" t="str">
        <f>'1st Innings'!G58</f>
        <v>Arun Rajain</v>
      </c>
      <c r="H58" s="17" t="str">
        <f>'1st Innings'!H58</f>
        <v>Adarsh srikanth</v>
      </c>
      <c r="I58" s="17" t="str">
        <f>'1st Innings'!I58</f>
        <v>Ahmad Ramdhoni</v>
      </c>
      <c r="J58" s="17" t="str">
        <f>'1st Innings'!J58</f>
        <v>Adithyan Asokan</v>
      </c>
      <c r="K58" s="17" t="str">
        <f>'1st Innings'!K58</f>
        <v>Alistair Mann</v>
      </c>
      <c r="L58" s="17" t="str">
        <f>'1st Innings'!L58</f>
        <v>Aditya Gustama</v>
      </c>
      <c r="M58" s="17" t="str">
        <f>'1st Innings'!M58</f>
        <v>Abdul Rahman Ganesa Raja</v>
      </c>
      <c r="N58" s="17" t="str">
        <f>'1st Innings'!N58</f>
        <v>Ajay Jaswal</v>
      </c>
      <c r="O58" s="17" t="str">
        <f>'1st Innings'!O58</f>
        <v xml:space="preserve">Anil Gawda </v>
      </c>
      <c r="P58" s="17" t="str">
        <f>'1st Innings'!P58</f>
        <v>Abhay Bhalerao</v>
      </c>
      <c r="Q58" s="54"/>
      <c r="S58" s="3"/>
      <c r="T58" s="3"/>
      <c r="U58" s="56"/>
      <c r="V58" s="56"/>
      <c r="W58" s="56"/>
      <c r="X58" s="56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</row>
    <row r="59" spans="1:69" x14ac:dyDescent="0.25">
      <c r="A59" s="17" t="str">
        <f>'1st Innings'!A59</f>
        <v>AMBUJ DUBEY</v>
      </c>
      <c r="B59" s="17" t="str">
        <f>'1st Innings'!B59</f>
        <v>ANIL KAUL</v>
      </c>
      <c r="C59" s="17" t="str">
        <f>'1st Innings'!C59</f>
        <v>Anjaneyulu Katta</v>
      </c>
      <c r="D59" s="17" t="str">
        <f>'1st Innings'!D59</f>
        <v>Andrew Sandi Setiawan</v>
      </c>
      <c r="E59" s="17" t="str">
        <f>'1st Innings'!E59</f>
        <v>Abhishek Sinha</v>
      </c>
      <c r="F59" s="17" t="str">
        <f>'1st Innings'!F59</f>
        <v>Aqsam Omar</v>
      </c>
      <c r="G59" s="17" t="str">
        <f>'1st Innings'!G59</f>
        <v>Bhuvan Manjunathan</v>
      </c>
      <c r="H59" s="17" t="str">
        <f>'1st Innings'!H59</f>
        <v>Ajeet Bhatt</v>
      </c>
      <c r="I59" s="17" t="str">
        <f>'1st Innings'!I59</f>
        <v>Aijaz Matoo</v>
      </c>
      <c r="J59" s="17" t="str">
        <f>'1st Innings'!J59</f>
        <v>Chacko Smejo</v>
      </c>
      <c r="K59" s="17" t="str">
        <f>'1st Innings'!K59</f>
        <v>Brenton Harris</v>
      </c>
      <c r="L59" s="17" t="str">
        <f>'1st Innings'!L59</f>
        <v>Agi Septyasa</v>
      </c>
      <c r="M59" s="17" t="str">
        <f>'1st Innings'!M59</f>
        <v>Ajay Mishra</v>
      </c>
      <c r="N59" s="17" t="str">
        <f>'1st Innings'!N59</f>
        <v>Ajit Prabhu</v>
      </c>
      <c r="O59" s="17" t="str">
        <f>'1st Innings'!O59</f>
        <v>Ankit Gupta</v>
      </c>
      <c r="P59" s="17" t="str">
        <f>'1st Innings'!P59</f>
        <v>Amit Lalaji</v>
      </c>
      <c r="Q59" s="54"/>
      <c r="S59" s="3"/>
      <c r="T59" s="3"/>
      <c r="U59" s="56"/>
      <c r="V59" s="3"/>
      <c r="W59" s="56"/>
      <c r="X59" s="56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</row>
    <row r="60" spans="1:69" x14ac:dyDescent="0.25">
      <c r="A60" s="17" t="str">
        <f>'1st Innings'!A60</f>
        <v>AMBUJ SINGH</v>
      </c>
      <c r="B60" s="17" t="str">
        <f>'1st Innings'!B60</f>
        <v>ANIL PRABHAKAR</v>
      </c>
      <c r="C60" s="17" t="str">
        <f>'1st Innings'!C60</f>
        <v>Avi Bakuni</v>
      </c>
      <c r="D60" s="17" t="str">
        <f>'1st Innings'!D60</f>
        <v>Ben Burgess</v>
      </c>
      <c r="E60" s="17" t="str">
        <f>'1st Innings'!E60</f>
        <v>Arjun Chauhan</v>
      </c>
      <c r="F60" s="17" t="str">
        <f>'1st Innings'!F60</f>
        <v>Atul Kakkar</v>
      </c>
      <c r="G60" s="17" t="str">
        <f>'1st Innings'!G60</f>
        <v>Bunty Nagpal</v>
      </c>
      <c r="H60" s="17" t="str">
        <f>'1st Innings'!H60</f>
        <v>Ashutosh Mishra</v>
      </c>
      <c r="I60" s="17" t="str">
        <f>'1st Innings'!I60</f>
        <v>Amar Kapadia</v>
      </c>
      <c r="J60" s="17" t="str">
        <f>'1st Innings'!J60</f>
        <v>Chandroo R Rajalingam</v>
      </c>
      <c r="K60" s="17" t="str">
        <f>'1st Innings'!K60</f>
        <v xml:space="preserve">Brock Fisher </v>
      </c>
      <c r="L60" s="17" t="str">
        <f>'1st Innings'!L60</f>
        <v>Alfaris</v>
      </c>
      <c r="M60" s="17" t="str">
        <f>'1st Innings'!M60</f>
        <v>Anandalwar Santhanam</v>
      </c>
      <c r="N60" s="17" t="str">
        <f>'1st Innings'!N60</f>
        <v>Anuj Banerjee</v>
      </c>
      <c r="O60" s="17" t="str">
        <f>'1st Innings'!O60</f>
        <v xml:space="preserve">Dipak Grover </v>
      </c>
      <c r="P60" s="17" t="str">
        <f>'1st Innings'!P60</f>
        <v>Ansar Subramanian Mohammed Hameed</v>
      </c>
      <c r="Q60" s="54"/>
      <c r="S60" s="3"/>
      <c r="T60" s="3"/>
      <c r="U60" s="56"/>
      <c r="V60" s="56"/>
      <c r="W60" s="56"/>
      <c r="X60" s="56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</row>
    <row r="61" spans="1:69" x14ac:dyDescent="0.25">
      <c r="A61" s="17" t="str">
        <f>'1st Innings'!A61</f>
        <v>ANANT BHAKE</v>
      </c>
      <c r="B61" s="17" t="str">
        <f>'1st Innings'!B61</f>
        <v>ASANKA DE SARAM</v>
      </c>
      <c r="C61" s="17" t="str">
        <f>'1st Innings'!C61</f>
        <v>Bhagatsinh londhe</v>
      </c>
      <c r="D61" s="17" t="str">
        <f>'1st Innings'!D61</f>
        <v>Ben Corbett</v>
      </c>
      <c r="E61" s="17" t="str">
        <f>'1st Innings'!E61</f>
        <v>Ashish Khaitan</v>
      </c>
      <c r="F61" s="17" t="str">
        <f>'1st Innings'!F61</f>
        <v>Deepak Khullar</v>
      </c>
      <c r="G61" s="17" t="str">
        <f>'1st Innings'!G61</f>
        <v>Dhiraj Nagpal</v>
      </c>
      <c r="H61" s="17" t="str">
        <f>'1st Innings'!H61</f>
        <v>Bharat Dholakhandi</v>
      </c>
      <c r="I61" s="17" t="str">
        <f>'1st Innings'!I61</f>
        <v>Amir Mohammad</v>
      </c>
      <c r="J61" s="17" t="str">
        <f>'1st Innings'!J61</f>
        <v>Dennis Susairaj. J</v>
      </c>
      <c r="K61" s="17" t="str">
        <f>'1st Innings'!K61</f>
        <v>Cameron Knox</v>
      </c>
      <c r="L61" s="17" t="str">
        <f>'1st Innings'!L61</f>
        <v>Andriani</v>
      </c>
      <c r="M61" s="17" t="str">
        <f>'1st Innings'!M61</f>
        <v>Arun Franklin</v>
      </c>
      <c r="N61" s="17" t="str">
        <f>'1st Innings'!N61</f>
        <v>Chetan Porwal</v>
      </c>
      <c r="O61" s="17" t="str">
        <f>'1st Innings'!O61</f>
        <v>Harshal Sunil Rane</v>
      </c>
      <c r="P61" s="17" t="str">
        <f>'1st Innings'!P61</f>
        <v>Anwar Pasha</v>
      </c>
      <c r="Q61" s="54"/>
      <c r="S61" s="3"/>
      <c r="T61" s="3"/>
      <c r="U61" s="56"/>
      <c r="V61" s="56"/>
      <c r="W61" s="56"/>
      <c r="X61" s="56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</row>
    <row r="62" spans="1:69" x14ac:dyDescent="0.25">
      <c r="A62" s="17" t="str">
        <f>'1st Innings'!A62</f>
        <v>AVINASH PAREEK</v>
      </c>
      <c r="B62" s="17" t="str">
        <f>'1st Innings'!B62</f>
        <v>AVAKASH LOHIA</v>
      </c>
      <c r="C62" s="17" t="str">
        <f>'1st Innings'!C62</f>
        <v>David Surjit</v>
      </c>
      <c r="D62" s="17" t="str">
        <f>'1st Innings'!D62</f>
        <v>Biswajit Pradhan</v>
      </c>
      <c r="E62" s="17" t="str">
        <f>'1st Innings'!E62</f>
        <v>Bubun Bubun</v>
      </c>
      <c r="F62" s="17" t="str">
        <f>'1st Innings'!F62</f>
        <v>Gajendra Asaliya</v>
      </c>
      <c r="G62" s="17" t="str">
        <f>'1st Innings'!G62</f>
        <v>Dwaraknath Naidu</v>
      </c>
      <c r="H62" s="17" t="str">
        <f>'1st Innings'!H62</f>
        <v>Deepak Sarna</v>
      </c>
      <c r="I62" s="17" t="str">
        <f>'1st Innings'!I62</f>
        <v>Amit Ambre</v>
      </c>
      <c r="J62" s="17" t="str">
        <f>'1st Innings'!J62</f>
        <v>Dhanashekaran (sekar ) Ramalingam</v>
      </c>
      <c r="K62" s="17" t="str">
        <f>'1st Innings'!K62</f>
        <v xml:space="preserve">Cameron McNamara </v>
      </c>
      <c r="L62" s="17" t="str">
        <f>'1st Innings'!L62</f>
        <v>Angga Lucky</v>
      </c>
      <c r="M62" s="17" t="str">
        <f>'1st Innings'!M62</f>
        <v>Arun Pandi</v>
      </c>
      <c r="N62" s="17" t="str">
        <f>'1st Innings'!N62</f>
        <v>Hetal Patel</v>
      </c>
      <c r="O62" s="17" t="str">
        <f>'1st Innings'!O62</f>
        <v>Hitesh Malhotra</v>
      </c>
      <c r="P62" s="17" t="str">
        <f>'1st Innings'!P62</f>
        <v>Ashfaq Hussain</v>
      </c>
      <c r="Q62" s="54"/>
      <c r="S62" s="3"/>
      <c r="T62" s="3"/>
      <c r="U62" s="56"/>
      <c r="V62" s="3"/>
      <c r="W62" s="56"/>
      <c r="X62" s="56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</row>
    <row r="63" spans="1:69" x14ac:dyDescent="0.25">
      <c r="A63" s="17" t="str">
        <f>'1st Innings'!A63</f>
        <v>BOB PLATH</v>
      </c>
      <c r="B63" s="17" t="str">
        <f>'1st Innings'!B63</f>
        <v>BABA SIVASANKARAN</v>
      </c>
      <c r="C63" s="17" t="str">
        <f>'1st Innings'!C63</f>
        <v>Dilip Udayashankar</v>
      </c>
      <c r="D63" s="17" t="str">
        <f>'1st Innings'!D63</f>
        <v>Damien Ross</v>
      </c>
      <c r="E63" s="17" t="str">
        <f>'1st Innings'!E63</f>
        <v>Deepak Kedia</v>
      </c>
      <c r="F63" s="17" t="str">
        <f>'1st Innings'!F63</f>
        <v>Hanan Khalid</v>
      </c>
      <c r="G63" s="17" t="str">
        <f>'1st Innings'!G63</f>
        <v>Gaurang Kapadia</v>
      </c>
      <c r="H63" s="17" t="str">
        <f>'1st Innings'!H63</f>
        <v>Diwakar Mohan</v>
      </c>
      <c r="I63" s="17" t="str">
        <f>'1st Innings'!I63</f>
        <v>Amit Dabas</v>
      </c>
      <c r="J63" s="17" t="str">
        <f>'1st Innings'!J63</f>
        <v>Jaganathan (Jagan ) Krishnan</v>
      </c>
      <c r="K63" s="17" t="str">
        <f>'1st Innings'!K63</f>
        <v>Charles Thursby-Pelham</v>
      </c>
      <c r="L63" s="17" t="str">
        <f>'1st Innings'!L63</f>
        <v>Ardan</v>
      </c>
      <c r="M63" s="17" t="str">
        <f>'1st Innings'!M63</f>
        <v>Ashwin Shetty</v>
      </c>
      <c r="N63" s="17" t="str">
        <f>'1st Innings'!N63</f>
        <v>Ishwar Thakkar</v>
      </c>
      <c r="O63" s="17" t="str">
        <f>'1st Innings'!O63</f>
        <v>Kapil Goel</v>
      </c>
      <c r="P63" s="17" t="str">
        <f>'1st Innings'!P63</f>
        <v>Bilal Abdus Samad</v>
      </c>
      <c r="Q63" s="54"/>
      <c r="S63" s="3"/>
      <c r="T63" s="3"/>
      <c r="U63" s="56"/>
      <c r="V63" s="3"/>
      <c r="W63" s="56"/>
      <c r="X63" s="56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</row>
    <row r="64" spans="1:69" x14ac:dyDescent="0.25">
      <c r="A64" s="17" t="str">
        <f>'1st Innings'!A64</f>
        <v>Chinmay Mallik</v>
      </c>
      <c r="B64" s="17" t="str">
        <f>'1st Innings'!B64</f>
        <v>DIHAN SILVA</v>
      </c>
      <c r="C64" s="17" t="str">
        <f>'1st Innings'!C64</f>
        <v>Gautam Chakravarthy</v>
      </c>
      <c r="D64" s="17" t="str">
        <f>'1st Innings'!D64</f>
        <v>Desandri</v>
      </c>
      <c r="E64" s="17" t="str">
        <f>'1st Innings'!E64</f>
        <v>Govind Sodani</v>
      </c>
      <c r="F64" s="17" t="str">
        <f>'1st Innings'!F64</f>
        <v>Hari Krishnan</v>
      </c>
      <c r="G64" s="17" t="str">
        <f>'1st Innings'!G64</f>
        <v>Gaurav Pathak</v>
      </c>
      <c r="H64" s="17" t="str">
        <f>'1st Innings'!H64</f>
        <v>Gunasekran</v>
      </c>
      <c r="I64" s="17" t="str">
        <f>'1st Innings'!I64</f>
        <v>Amrithanand Mandook</v>
      </c>
      <c r="J64" s="17" t="str">
        <f>'1st Innings'!J64</f>
        <v>Jeganathan S</v>
      </c>
      <c r="K64" s="17" t="str">
        <f>'1st Innings'!K64</f>
        <v>Christian Hirst</v>
      </c>
      <c r="L64" s="17" t="str">
        <f>'1st Innings'!L64</f>
        <v>Arkha Tri Maryanto</v>
      </c>
      <c r="M64" s="17" t="str">
        <f>'1st Innings'!M64</f>
        <v>Jegan Rangachari</v>
      </c>
      <c r="N64" s="17" t="str">
        <f>'1st Innings'!N64</f>
        <v>Jatinder Sandhu</v>
      </c>
      <c r="O64" s="17" t="str">
        <f>'1st Innings'!O64</f>
        <v>Kshitij</v>
      </c>
      <c r="P64" s="17" t="str">
        <f>'1st Innings'!P64</f>
        <v>Dhimanshu Raghuwanshi</v>
      </c>
      <c r="Q64" s="54"/>
      <c r="S64" s="3"/>
      <c r="T64" s="3"/>
      <c r="U64" s="56"/>
      <c r="V64" s="3"/>
      <c r="W64" s="56"/>
      <c r="X64" s="56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</row>
    <row r="65" spans="1:62" x14ac:dyDescent="0.25">
      <c r="A65" s="17" t="str">
        <f>'1st Innings'!A65</f>
        <v>DAVID HOLME</v>
      </c>
      <c r="B65" s="17" t="str">
        <f>'1st Innings'!B65</f>
        <v>GAURAV KAPOOR</v>
      </c>
      <c r="C65" s="17" t="str">
        <f>'1st Innings'!C65</f>
        <v>Harish Vaidyanathan</v>
      </c>
      <c r="D65" s="17" t="str">
        <f>'1st Innings'!D65</f>
        <v>Eki Antaria</v>
      </c>
      <c r="E65" s="17" t="str">
        <f>'1st Innings'!E65</f>
        <v>Karyadi Karyadi</v>
      </c>
      <c r="F65" s="17" t="str">
        <f>'1st Innings'!F65</f>
        <v>Harish Tiwari</v>
      </c>
      <c r="G65" s="17" t="str">
        <f>'1st Innings'!G65</f>
        <v>George Maghnani</v>
      </c>
      <c r="H65" s="17" t="str">
        <f>'1st Innings'!H65</f>
        <v>Ishan daniel</v>
      </c>
      <c r="I65" s="17" t="str">
        <f>'1st Innings'!I65</f>
        <v>Anjar Tadarus</v>
      </c>
      <c r="J65" s="17" t="str">
        <f>'1st Innings'!J65</f>
        <v>Manicka vasagan (Manic) G</v>
      </c>
      <c r="K65" s="17" t="str">
        <f>'1st Innings'!K65</f>
        <v>Corbon Loughnan</v>
      </c>
      <c r="L65" s="17" t="str">
        <f>'1st Innings'!L65</f>
        <v>Dandi</v>
      </c>
      <c r="M65" s="17" t="str">
        <f>'1st Innings'!M65</f>
        <v>John Anthony</v>
      </c>
      <c r="N65" s="17" t="str">
        <f>'1st Innings'!N65</f>
        <v>Keyur Moradia</v>
      </c>
      <c r="O65" s="17" t="str">
        <f>'1st Innings'!O65</f>
        <v>Malik Thariani</v>
      </c>
      <c r="P65" s="17" t="str">
        <f>'1st Innings'!P65</f>
        <v>Feroz Saeed Dalwai</v>
      </c>
      <c r="Q65" s="54"/>
      <c r="S65" s="3"/>
      <c r="T65" s="3"/>
      <c r="U65" s="56"/>
      <c r="V65" s="3"/>
      <c r="W65" s="56"/>
      <c r="X65" s="56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</row>
    <row r="66" spans="1:62" x14ac:dyDescent="0.25">
      <c r="A66" s="17" t="str">
        <f>'1st Innings'!A66</f>
        <v>DEEPAK SINGH</v>
      </c>
      <c r="B66" s="17" t="str">
        <f>'1st Innings'!B66</f>
        <v>KESAVADAS RAVINDRAN</v>
      </c>
      <c r="C66" s="17" t="str">
        <f>'1st Innings'!C66</f>
        <v>Kapil Goel</v>
      </c>
      <c r="D66" s="17" t="str">
        <f>'1st Innings'!D66</f>
        <v>Jared Seiffert</v>
      </c>
      <c r="E66" s="17" t="str">
        <f>'1st Innings'!E66</f>
        <v>Kaushik Vishvanath</v>
      </c>
      <c r="F66" s="17" t="str">
        <f>'1st Innings'!F66</f>
        <v>Harshad Bhat</v>
      </c>
      <c r="G66" s="17" t="str">
        <f>'1st Innings'!G66</f>
        <v>Hardeep Sidhu</v>
      </c>
      <c r="H66" s="17" t="str">
        <f>'1st Innings'!H66</f>
        <v>Jalaj Chaturvedi</v>
      </c>
      <c r="I66" s="17" t="str">
        <f>'1st Innings'!I66</f>
        <v>Ashit Mehta</v>
      </c>
      <c r="J66" s="17" t="str">
        <f>'1st Innings'!J66</f>
        <v>Rajeev Gandhi</v>
      </c>
      <c r="K66" s="17" t="str">
        <f>'1st Innings'!K66</f>
        <v>Dan Brown</v>
      </c>
      <c r="L66" s="17" t="str">
        <f>'1st Innings'!L66</f>
        <v>Fachri Nurhadi</v>
      </c>
      <c r="M66" s="17" t="str">
        <f>'1st Innings'!M66</f>
        <v>Karthikeyan Sakthivel</v>
      </c>
      <c r="N66" s="17" t="str">
        <f>'1st Innings'!N66</f>
        <v>Kunal Malhotra</v>
      </c>
      <c r="O66" s="17" t="str">
        <f>'1st Innings'!O66</f>
        <v>Maneesh Tripathi</v>
      </c>
      <c r="P66" s="17" t="str">
        <f>'1st Innings'!P66</f>
        <v xml:space="preserve">Irfan Raza </v>
      </c>
      <c r="Q66" s="54"/>
      <c r="S66" s="3"/>
      <c r="T66" s="3"/>
      <c r="U66" s="56"/>
      <c r="V66" s="3"/>
      <c r="W66" s="56"/>
      <c r="X66" s="56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</row>
    <row r="67" spans="1:62" x14ac:dyDescent="0.25">
      <c r="A67" s="17" t="str">
        <f>'1st Innings'!A67</f>
        <v>GAURAV TIWARI</v>
      </c>
      <c r="B67" s="17" t="str">
        <f>'1st Innings'!B67</f>
        <v>Mufasil PM</v>
      </c>
      <c r="C67" s="17" t="str">
        <f>'1st Innings'!C67</f>
        <v>Krishna Kumar V</v>
      </c>
      <c r="D67" s="17" t="str">
        <f>'1st Innings'!D67</f>
        <v>Jon Baker</v>
      </c>
      <c r="E67" s="17" t="str">
        <f>'1st Innings'!E67</f>
        <v>Nakul Boora</v>
      </c>
      <c r="F67" s="17" t="str">
        <f>'1st Innings'!F67</f>
        <v>John Dulip Kumar</v>
      </c>
      <c r="G67" s="17" t="str">
        <f>'1st Innings'!G67</f>
        <v>Kishor Gunwani</v>
      </c>
      <c r="H67" s="17" t="str">
        <f>'1st Innings'!H67</f>
        <v>Karan Tiwari</v>
      </c>
      <c r="I67" s="17" t="str">
        <f>'1st Innings'!I67</f>
        <v>Ashwin Sunder</v>
      </c>
      <c r="J67" s="17" t="str">
        <f>'1st Innings'!J67</f>
        <v>Ranjan Shankar</v>
      </c>
      <c r="K67" s="17" t="str">
        <f>'1st Innings'!K67</f>
        <v>Dan Thomas</v>
      </c>
      <c r="L67" s="17" t="str">
        <f>'1st Innings'!L67</f>
        <v>Febrian Dana Wiyoko</v>
      </c>
      <c r="M67" s="17" t="str">
        <f>'1st Innings'!M67</f>
        <v>Kiruba Sankar</v>
      </c>
      <c r="N67" s="17" t="str">
        <f>'1st Innings'!N67</f>
        <v>Mayank Puri</v>
      </c>
      <c r="O67" s="17" t="str">
        <f>'1st Innings'!O67</f>
        <v>Mohammed Yaqoob</v>
      </c>
      <c r="P67" s="17" t="str">
        <f>'1st Innings'!P67</f>
        <v>Jagdeep Singh</v>
      </c>
      <c r="Q67" s="54"/>
      <c r="S67" s="3"/>
      <c r="T67" s="3"/>
      <c r="U67" s="56"/>
      <c r="V67" s="3"/>
      <c r="W67" s="56"/>
      <c r="X67" s="56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</row>
    <row r="68" spans="1:62" x14ac:dyDescent="0.25">
      <c r="A68" s="17" t="str">
        <f>'1st Innings'!A68</f>
        <v>GREG HAYNE</v>
      </c>
      <c r="B68" s="17" t="str">
        <f>'1st Innings'!B68</f>
        <v>MUHRIZ MUZAMMIL</v>
      </c>
      <c r="C68" s="17" t="str">
        <f>'1st Innings'!C68</f>
        <v>Maneesh Dubey</v>
      </c>
      <c r="D68" s="17" t="str">
        <f>'1st Innings'!D68</f>
        <v>Josh Van Vianen</v>
      </c>
      <c r="E68" s="17" t="str">
        <f>'1st Innings'!E68</f>
        <v>Nitin Joshi</v>
      </c>
      <c r="F68" s="17" t="str">
        <f>'1st Innings'!F68</f>
        <v>Kapil Bhutra</v>
      </c>
      <c r="G68" s="17" t="str">
        <f>'1st Innings'!G68</f>
        <v>Mahesh Amarnani</v>
      </c>
      <c r="H68" s="17" t="str">
        <f>'1st Innings'!H68</f>
        <v>Manish Semwal</v>
      </c>
      <c r="I68" s="17" t="str">
        <f>'1st Innings'!I68</f>
        <v>Cecil Jacob</v>
      </c>
      <c r="J68" s="17" t="str">
        <f>'1st Innings'!J68</f>
        <v>Ravi Venkatesh</v>
      </c>
      <c r="K68" s="17" t="str">
        <f>'1st Innings'!K68</f>
        <v xml:space="preserve">Davin Frankel </v>
      </c>
      <c r="L68" s="17" t="str">
        <f>'1st Innings'!L68</f>
        <v>Fernandes Nato Wellarana</v>
      </c>
      <c r="M68" s="17" t="str">
        <f>'1st Innings'!M68</f>
        <v>Narasimha Lakshmi Gowda</v>
      </c>
      <c r="N68" s="17" t="str">
        <f>'1st Innings'!N68</f>
        <v>Miraz Monga</v>
      </c>
      <c r="O68" s="17" t="str">
        <f>'1st Innings'!O68</f>
        <v>Mukesh Khetan</v>
      </c>
      <c r="P68" s="17" t="str">
        <f>'1st Innings'!P68</f>
        <v>jawahar subra manian</v>
      </c>
      <c r="Q68" s="54"/>
      <c r="S68" s="3"/>
      <c r="T68" s="3"/>
      <c r="U68" s="56"/>
      <c r="V68" s="3"/>
      <c r="W68" s="56"/>
      <c r="X68" s="56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</row>
    <row r="69" spans="1:62" x14ac:dyDescent="0.25">
      <c r="A69" s="17" t="str">
        <f>'1st Innings'!A69</f>
        <v>HIMANSHU SHEKAR</v>
      </c>
      <c r="B69" s="17" t="str">
        <f>'1st Innings'!B69</f>
        <v>NALAKA KODITUWAKKU</v>
      </c>
      <c r="C69" s="17" t="str">
        <f>'1st Innings'!C69</f>
        <v>Manikandan Chandrashekar</v>
      </c>
      <c r="D69" s="17" t="str">
        <f>'1st Innings'!D69</f>
        <v>Justin Horan</v>
      </c>
      <c r="E69" s="17" t="str">
        <f>'1st Innings'!E69</f>
        <v>PC Sethi</v>
      </c>
      <c r="F69" s="17" t="str">
        <f>'1st Innings'!F69</f>
        <v>Mahesh Thadani</v>
      </c>
      <c r="G69" s="17" t="str">
        <f>'1st Innings'!G69</f>
        <v>Manoj Arora</v>
      </c>
      <c r="H69" s="17" t="str">
        <f>'1st Innings'!H69</f>
        <v>Maulik Trivedi</v>
      </c>
      <c r="I69" s="17" t="str">
        <f>'1st Innings'!I69</f>
        <v>Faisal Hashmi</v>
      </c>
      <c r="J69" s="17" t="str">
        <f>'1st Innings'!J69</f>
        <v>Santhosh Kumar</v>
      </c>
      <c r="K69" s="17" t="str">
        <f>'1st Innings'!K69</f>
        <v>Debmalaya Jana</v>
      </c>
      <c r="L69" s="17" t="str">
        <f>'1st Innings'!L69</f>
        <v>Fiskal Tirta Yoga Sabara</v>
      </c>
      <c r="M69" s="17" t="str">
        <f>'1st Innings'!M69</f>
        <v>Prabhukaliraj Kanagarajan</v>
      </c>
      <c r="N69" s="17" t="str">
        <f>'1st Innings'!N69</f>
        <v>Mitesh Dingra</v>
      </c>
      <c r="O69" s="17" t="str">
        <f>'1st Innings'!O69</f>
        <v xml:space="preserve">Nagesh Lakshmi Gawda </v>
      </c>
      <c r="P69" s="17" t="str">
        <f>'1st Innings'!P69</f>
        <v>Mohammad Mubeen</v>
      </c>
      <c r="Q69" s="54"/>
      <c r="S69" s="3"/>
      <c r="T69" s="3"/>
      <c r="U69" s="56"/>
      <c r="V69" s="3"/>
      <c r="W69" s="56"/>
      <c r="X69" s="56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</row>
    <row r="70" spans="1:62" x14ac:dyDescent="0.25">
      <c r="A70" s="17" t="str">
        <f>'1st Innings'!A70</f>
        <v>JIM HOWLETT</v>
      </c>
      <c r="B70" s="17" t="str">
        <f>'1st Innings'!B70</f>
        <v>Naushad</v>
      </c>
      <c r="C70" s="17" t="str">
        <f>'1st Innings'!C70</f>
        <v>Mayank Sharma</v>
      </c>
      <c r="D70" s="17" t="str">
        <f>'1st Innings'!D70</f>
        <v>Kookie Jambunathan</v>
      </c>
      <c r="E70" s="17" t="str">
        <f>'1st Innings'!E70</f>
        <v>R Srikkanth</v>
      </c>
      <c r="F70" s="17" t="str">
        <f>'1st Innings'!F70</f>
        <v>Mohit Keshwani</v>
      </c>
      <c r="G70" s="17" t="str">
        <f>'1st Innings'!G70</f>
        <v>Pallav Malhotra</v>
      </c>
      <c r="H70" s="17" t="str">
        <f>'1st Innings'!H70</f>
        <v>Mohammad Imran</v>
      </c>
      <c r="I70" s="17" t="str">
        <f>'1st Innings'!I70</f>
        <v>Haider Ali</v>
      </c>
      <c r="J70" s="17" t="str">
        <f>'1st Innings'!J70</f>
        <v>Satheesh  Kumar Subramanium</v>
      </c>
      <c r="K70" s="17" t="str">
        <f>'1st Innings'!K70</f>
        <v xml:space="preserve">Dick Slaney </v>
      </c>
      <c r="L70" s="17" t="str">
        <f>'1st Innings'!L70</f>
        <v>Gema Fajar</v>
      </c>
      <c r="M70" s="17" t="str">
        <f>'1st Innings'!M70</f>
        <v>Prem Kumar Subbaiah</v>
      </c>
      <c r="N70" s="17" t="str">
        <f>'1st Innings'!N70</f>
        <v>Pradeep Patnaik</v>
      </c>
      <c r="O70" s="17" t="str">
        <f>'1st Innings'!O70</f>
        <v>Neeraj Chaddha</v>
      </c>
      <c r="P70" s="17" t="str">
        <f>'1st Innings'!P70</f>
        <v>Mohideen Nanapallai</v>
      </c>
      <c r="Q70" s="54"/>
      <c r="S70" s="3"/>
      <c r="T70" s="3"/>
      <c r="U70" s="56"/>
      <c r="V70" s="3"/>
      <c r="W70" s="56"/>
      <c r="X70" s="56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</row>
    <row r="71" spans="1:62" x14ac:dyDescent="0.25">
      <c r="A71" s="17" t="str">
        <f>'1st Innings'!A71</f>
        <v>JP LE RICHE</v>
      </c>
      <c r="B71" s="17" t="str">
        <f>'1st Innings'!B71</f>
        <v>PRAVEEN UPPAL</v>
      </c>
      <c r="C71" s="17" t="str">
        <f>'1st Innings'!C71</f>
        <v>Nagraj Bitla</v>
      </c>
      <c r="D71" s="17" t="str">
        <f>'1st Innings'!D71</f>
        <v>Kunal Desai</v>
      </c>
      <c r="E71" s="17" t="str">
        <f>'1st Innings'!E71</f>
        <v>Rohan Rajpal</v>
      </c>
      <c r="F71" s="17" t="str">
        <f>'1st Innings'!F71</f>
        <v>Muhammad Ishaq Khan</v>
      </c>
      <c r="G71" s="17" t="str">
        <f>'1st Innings'!G71</f>
        <v>Pankaj Jain</v>
      </c>
      <c r="H71" s="17" t="str">
        <f>'1st Innings'!H71</f>
        <v>Mohit Dilawar Singh</v>
      </c>
      <c r="I71" s="17" t="str">
        <f>'1st Innings'!I71</f>
        <v>Irwan Buhari</v>
      </c>
      <c r="J71" s="17" t="str">
        <f>'1st Innings'!J71</f>
        <v>Satinder Minhas</v>
      </c>
      <c r="K71" s="17" t="str">
        <f>'1st Innings'!K71</f>
        <v>DJ Mathew</v>
      </c>
      <c r="L71" s="17" t="str">
        <f>'1st Innings'!L71</f>
        <v>Irwan Siregar</v>
      </c>
      <c r="M71" s="17" t="str">
        <f>'1st Innings'!M71</f>
        <v>Ramachandran parthasarathy</v>
      </c>
      <c r="N71" s="17" t="str">
        <f>'1st Innings'!N71</f>
        <v>Prashant Kamat</v>
      </c>
      <c r="O71" s="17" t="str">
        <f>'1st Innings'!O71</f>
        <v>Poonam Bumb</v>
      </c>
      <c r="P71" s="17" t="str">
        <f>'1st Innings'!P71</f>
        <v>Muhammad Ridho</v>
      </c>
      <c r="Q71" s="54"/>
      <c r="S71" s="3"/>
      <c r="T71" s="3"/>
      <c r="U71" s="56"/>
      <c r="V71" s="3"/>
      <c r="W71" s="56"/>
      <c r="X71" s="56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</row>
    <row r="72" spans="1:62" x14ac:dyDescent="0.25">
      <c r="A72" s="17" t="str">
        <f>'1st Innings'!A72</f>
        <v>Navin Param</v>
      </c>
      <c r="B72" s="17" t="str">
        <f>'1st Innings'!B72</f>
        <v>PULOKESH (PULO) MAJUMDAR</v>
      </c>
      <c r="C72" s="17" t="str">
        <f>'1st Innings'!C72</f>
        <v>Neeraj Sharma</v>
      </c>
      <c r="D72" s="17" t="str">
        <f>'1st Innings'!D72</f>
        <v>Liam Cass</v>
      </c>
      <c r="E72" s="17" t="str">
        <f>'1st Innings'!E72</f>
        <v>Sadanand Janpandit</v>
      </c>
      <c r="F72" s="17" t="str">
        <f>'1st Innings'!F72</f>
        <v>Neetesh Pansare</v>
      </c>
      <c r="G72" s="17" t="str">
        <f>'1st Innings'!G72</f>
        <v>Partha Kabi</v>
      </c>
      <c r="H72" s="17" t="str">
        <f>'1st Innings'!H72</f>
        <v>Naresh Gupta</v>
      </c>
      <c r="I72" s="17" t="str">
        <f>'1st Innings'!I72</f>
        <v>Javed Hayat</v>
      </c>
      <c r="J72" s="17" t="str">
        <f>'1st Innings'!J72</f>
        <v>Srini KG srinivas</v>
      </c>
      <c r="K72" s="17" t="str">
        <f>'1st Innings'!K72</f>
        <v>Geoff Perryman</v>
      </c>
      <c r="L72" s="17" t="str">
        <f>'1st Innings'!L72</f>
        <v>Juni Aryadi</v>
      </c>
      <c r="M72" s="17" t="str">
        <f>'1st Innings'!M72</f>
        <v>Reddy A.V</v>
      </c>
      <c r="N72" s="17" t="str">
        <f>'1st Innings'!B73</f>
        <v>RAJEEV KUMAR</v>
      </c>
      <c r="O72" s="17" t="str">
        <f>'1st Innings'!O72</f>
        <v>Rakesh Gowda</v>
      </c>
      <c r="P72" s="17" t="str">
        <f>'1st Innings'!P72</f>
        <v>Nasir Mehdi</v>
      </c>
      <c r="Q72" s="54"/>
      <c r="S72" s="3"/>
      <c r="T72" s="3"/>
      <c r="U72" s="56"/>
      <c r="V72" s="3"/>
      <c r="W72" s="56"/>
      <c r="X72" s="56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</row>
    <row r="73" spans="1:62" x14ac:dyDescent="0.25">
      <c r="A73" s="17" t="str">
        <f>'1st Innings'!A73</f>
        <v>Owais Parry</v>
      </c>
      <c r="B73" s="17" t="str">
        <f>'1st Innings'!B73</f>
        <v>RAJEEV KUMAR</v>
      </c>
      <c r="C73" s="17" t="str">
        <f>'1st Innings'!C73</f>
        <v>Nitin Gupta</v>
      </c>
      <c r="D73" s="17" t="str">
        <f>'1st Innings'!D73</f>
        <v>Lindsay Wood</v>
      </c>
      <c r="E73" s="17" t="str">
        <f>'1st Innings'!E73</f>
        <v>Sandeep Bhandarwar</v>
      </c>
      <c r="F73" s="17" t="str">
        <f>'1st Innings'!F73</f>
        <v>Prakash Kewlani</v>
      </c>
      <c r="G73" s="17" t="str">
        <f>'1st Innings'!G73</f>
        <v>Rachin Arora</v>
      </c>
      <c r="H73" s="17" t="str">
        <f>'1st Innings'!H73</f>
        <v>Nikhil D'souza</v>
      </c>
      <c r="I73" s="17" t="str">
        <f>'1st Innings'!I73</f>
        <v>Jibu Chacko</v>
      </c>
      <c r="J73" s="17" t="str">
        <f>'1st Innings'!J73</f>
        <v>Srinivasan (Cheenu) Venkatachalam</v>
      </c>
      <c r="K73" s="17" t="str">
        <f>'1st Innings'!K73</f>
        <v>Greg Furness</v>
      </c>
      <c r="L73" s="17" t="str">
        <f>'1st Innings'!L73</f>
        <v>Melvin Ndoen</v>
      </c>
      <c r="M73" s="17" t="str">
        <f>'1st Innings'!M73</f>
        <v>Sabu Joy</v>
      </c>
      <c r="N73" s="17" t="str">
        <f>'1st Innings'!N73</f>
        <v>Punit Gambhir</v>
      </c>
      <c r="O73" s="17" t="str">
        <f>'1st Innings'!O73</f>
        <v>Rakshan Rai</v>
      </c>
      <c r="P73" s="17" t="str">
        <f>'1st Innings'!P73</f>
        <v>Parshotam Lal</v>
      </c>
      <c r="Q73" s="54"/>
      <c r="S73" s="3"/>
      <c r="T73" s="3"/>
      <c r="U73" s="56"/>
      <c r="V73" s="3"/>
      <c r="W73" s="56"/>
      <c r="X73" s="56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</row>
    <row r="74" spans="1:62" x14ac:dyDescent="0.25">
      <c r="A74" s="17" t="str">
        <f>'1st Innings'!A74</f>
        <v>PAUL GRIFFITH</v>
      </c>
      <c r="B74" s="17" t="str">
        <f>'1st Innings'!B74</f>
        <v>RAJESH MRIDULA</v>
      </c>
      <c r="C74" s="17" t="str">
        <f>'1st Innings'!C74</f>
        <v>Palwinder Singh</v>
      </c>
      <c r="D74" s="17" t="str">
        <f>'1st Innings'!D74</f>
        <v>Malay Trivedi</v>
      </c>
      <c r="E74" s="17" t="str">
        <f>'1st Innings'!E74</f>
        <v>Sandeep Boora</v>
      </c>
      <c r="F74" s="17" t="str">
        <f>'1st Innings'!F74</f>
        <v>Rahul Kukreja</v>
      </c>
      <c r="G74" s="17" t="str">
        <f>'1st Innings'!G74</f>
        <v>Rahul Pagad</v>
      </c>
      <c r="H74" s="17" t="str">
        <f>'1st Innings'!H74</f>
        <v xml:space="preserve">Prakash </v>
      </c>
      <c r="I74" s="17" t="str">
        <f>'1st Innings'!I74</f>
        <v>Jimmy Ahmed</v>
      </c>
      <c r="J74" s="17" t="str">
        <f>'1st Innings'!J74</f>
        <v>Sunil Samtani</v>
      </c>
      <c r="K74" s="17" t="str">
        <f>'1st Innings'!K74</f>
        <v>James Trewin</v>
      </c>
      <c r="L74" s="17" t="str">
        <f>'1st Innings'!L74</f>
        <v>Muhammad Ari Cahyo Nugroho</v>
      </c>
      <c r="M74" s="17" t="str">
        <f>'1st Innings'!M74</f>
        <v>Sakthi Narayanan</v>
      </c>
      <c r="N74" s="17" t="str">
        <f>'1st Innings'!N74</f>
        <v>Rakesh Rathore</v>
      </c>
      <c r="O74" s="17" t="str">
        <f>'1st Innings'!O74</f>
        <v>Ravinder Negi</v>
      </c>
      <c r="P74" s="17" t="str">
        <f>'1st Innings'!P74</f>
        <v>Prabhakar Dutta</v>
      </c>
      <c r="Q74" s="54"/>
      <c r="S74" s="3"/>
      <c r="T74" s="3"/>
      <c r="U74" s="56"/>
      <c r="V74" s="56"/>
      <c r="W74" s="56"/>
      <c r="X74" s="56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</row>
    <row r="75" spans="1:62" x14ac:dyDescent="0.25">
      <c r="A75" s="17" t="str">
        <f>'1st Innings'!A75</f>
        <v>PRAKASH SUBRAMANIAN</v>
      </c>
      <c r="B75" s="17" t="str">
        <f>'1st Innings'!B75</f>
        <v>RAM KRISHNAN</v>
      </c>
      <c r="C75" s="17" t="str">
        <f>'1st Innings'!C75</f>
        <v>Piyush Jha</v>
      </c>
      <c r="D75" s="17" t="str">
        <f>'1st Innings'!D75</f>
        <v>Mark Bruny</v>
      </c>
      <c r="E75" s="17" t="str">
        <f>'1st Innings'!E75</f>
        <v>Sandeep Kukkar</v>
      </c>
      <c r="F75" s="17" t="str">
        <f>'1st Innings'!F75</f>
        <v>Rahul Thukral</v>
      </c>
      <c r="G75" s="17" t="str">
        <f>'1st Innings'!G75</f>
        <v>Santosh Kumar</v>
      </c>
      <c r="H75" s="17" t="str">
        <f>'1st Innings'!H75</f>
        <v>Pratyush Chatuvedi</v>
      </c>
      <c r="I75" s="17" t="str">
        <f>'1st Innings'!I75</f>
        <v>Kanav Choudary</v>
      </c>
      <c r="J75" s="17" t="str">
        <f>'1st Innings'!J75</f>
        <v>Vasudevan Rangasamy</v>
      </c>
      <c r="K75" s="17" t="str">
        <f>'1st Innings'!K75</f>
        <v>Jon Burrough</v>
      </c>
      <c r="L75" s="17" t="str">
        <f>'1st Innings'!L75</f>
        <v>Muhammad Syahrul Rahmadan</v>
      </c>
      <c r="M75" s="17" t="str">
        <f>'1st Innings'!M75</f>
        <v>Salahudeen Hameed Mohamed</v>
      </c>
      <c r="N75" s="17" t="str">
        <f>'1st Innings'!N75</f>
        <v>Rakesh Sharma</v>
      </c>
      <c r="O75" s="17" t="str">
        <f>'1st Innings'!O75</f>
        <v>Rohan Tripathi</v>
      </c>
      <c r="P75" s="17" t="str">
        <f>'1st Innings'!P75</f>
        <v>Raja Kundu</v>
      </c>
      <c r="Q75" s="54"/>
      <c r="S75" s="3"/>
      <c r="T75" s="3"/>
      <c r="U75" s="56"/>
      <c r="V75" s="3"/>
      <c r="W75" s="56"/>
      <c r="X75" s="56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</row>
    <row r="76" spans="1:62" x14ac:dyDescent="0.25">
      <c r="A76" s="17" t="str">
        <f>'1st Innings'!A76</f>
        <v>RAJEEV RAJESWARAN</v>
      </c>
      <c r="B76" s="17" t="str">
        <f>'1st Innings'!B76</f>
        <v>Razu Ahmed</v>
      </c>
      <c r="C76" s="17" t="str">
        <f>'1st Innings'!C76</f>
        <v>Rachin Kumar</v>
      </c>
      <c r="D76" s="17" t="str">
        <f>'1st Innings'!D76</f>
        <v>Mark Sims</v>
      </c>
      <c r="E76" s="17" t="str">
        <f>'1st Innings'!E76</f>
        <v>Shailesh Thulaskar</v>
      </c>
      <c r="F76" s="17" t="str">
        <f>'1st Innings'!F76</f>
        <v>Rakesh</v>
      </c>
      <c r="G76" s="17" t="str">
        <f>'1st Innings'!G76</f>
        <v>Vasudevan Parthasarathy</v>
      </c>
      <c r="H76" s="17" t="str">
        <f>'1st Innings'!H76</f>
        <v>Satya Ganesh</v>
      </c>
      <c r="I76" s="17" t="str">
        <f>'1st Innings'!I76</f>
        <v>Malcom Monteiro</v>
      </c>
      <c r="J76" s="17" t="str">
        <f>'1st Innings'!J76</f>
        <v>Vijay Kumar</v>
      </c>
      <c r="K76" s="17" t="str">
        <f>'1st Innings'!K76</f>
        <v xml:space="preserve">Justin Lee </v>
      </c>
      <c r="L76" s="17" t="str">
        <f>'1st Innings'!L76</f>
        <v>Refan Desnika</v>
      </c>
      <c r="M76" s="17" t="str">
        <f>'1st Innings'!M76</f>
        <v>Sivakumar Thangasamy Suriyamoorthy</v>
      </c>
      <c r="N76" s="17" t="str">
        <f>'1st Innings'!N76</f>
        <v>Ramesh Dubagunta</v>
      </c>
      <c r="O76" s="17" t="str">
        <f>'1st Innings'!O76</f>
        <v>Samir Patel</v>
      </c>
      <c r="P76" s="17" t="str">
        <f>'1st Innings'!P76</f>
        <v>Ramakrishna Prasad</v>
      </c>
      <c r="Q76" s="54"/>
      <c r="S76" s="3"/>
      <c r="T76" s="3"/>
      <c r="U76" s="56"/>
      <c r="V76" s="3"/>
      <c r="W76" s="56"/>
      <c r="X76" s="56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</row>
    <row r="77" spans="1:62" x14ac:dyDescent="0.25">
      <c r="A77" s="17" t="str">
        <f>'1st Innings'!A77</f>
        <v>Rajendra Singh</v>
      </c>
      <c r="B77" s="17" t="str">
        <f>'1st Innings'!B77</f>
        <v>RIAZ UR RAHMAN</v>
      </c>
      <c r="C77" s="17" t="str">
        <f>'1st Innings'!C77</f>
        <v>Rajat Jain</v>
      </c>
      <c r="D77" s="17" t="str">
        <f>'1st Innings'!D77</f>
        <v>Olivier Bouwmeester</v>
      </c>
      <c r="E77" s="17" t="str">
        <f>'1st Innings'!E77</f>
        <v>Shankar Mishra</v>
      </c>
      <c r="F77" s="17" t="str">
        <f>'1st Innings'!F77</f>
        <v>Ravinder Singh</v>
      </c>
      <c r="G77" s="17" t="str">
        <f>'1st Innings'!G77</f>
        <v>Vinayak Kurkoti</v>
      </c>
      <c r="H77" s="17" t="str">
        <f>'1st Innings'!H77</f>
        <v>Sourav Bera</v>
      </c>
      <c r="I77" s="17" t="str">
        <f>'1st Innings'!I77</f>
        <v>Malik Arslan</v>
      </c>
      <c r="J77" s="17" t="str">
        <f>'1st Innings'!J77</f>
        <v>Vimal  Mohan</v>
      </c>
      <c r="K77" s="17" t="str">
        <f>'1st Innings'!K77</f>
        <v xml:space="preserve">Liam Hammer </v>
      </c>
      <c r="L77" s="17" t="str">
        <f>'1st Innings'!L77</f>
        <v>Ridwan Amin</v>
      </c>
      <c r="M77" s="17" t="str">
        <f>'1st Innings'!M77</f>
        <v>Srivathsan V B</v>
      </c>
      <c r="N77" s="17" t="str">
        <f>'1st Innings'!N77</f>
        <v>Rinkesh Khosla</v>
      </c>
      <c r="O77" s="17" t="str">
        <f>'1st Innings'!O77</f>
        <v>Sanwar Agrawal</v>
      </c>
      <c r="P77" s="17" t="str">
        <f>'1st Innings'!P77</f>
        <v>RAZU AHMED</v>
      </c>
      <c r="Q77" s="54"/>
      <c r="S77" s="3"/>
      <c r="T77" s="3"/>
      <c r="U77" s="56"/>
      <c r="V77" s="56"/>
      <c r="W77" s="56"/>
      <c r="X77" s="56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</row>
    <row r="78" spans="1:62" x14ac:dyDescent="0.25">
      <c r="A78" s="17" t="str">
        <f>'1st Innings'!A78</f>
        <v>RAJNEESH VASUDEVA</v>
      </c>
      <c r="B78" s="17" t="str">
        <f>'1st Innings'!B78</f>
        <v>SABRY SALAHUDEEN</v>
      </c>
      <c r="C78" s="17" t="str">
        <f>'1st Innings'!C78</f>
        <v>Rakesh Chand</v>
      </c>
      <c r="D78" s="17" t="str">
        <f>'1st Innings'!D78</f>
        <v>Pete Clark</v>
      </c>
      <c r="E78" s="17" t="str">
        <f>'1st Innings'!E78</f>
        <v>Subhashish Parida</v>
      </c>
      <c r="F78" s="17" t="str">
        <f>'1st Innings'!F78</f>
        <v>Rikesh Parikh</v>
      </c>
      <c r="G78" s="17" t="str">
        <f>'1st Innings'!G78</f>
        <v>Vishal Ganti</v>
      </c>
      <c r="H78" s="17">
        <f>'1st Innings'!H78</f>
        <v>0</v>
      </c>
      <c r="I78" s="17" t="str">
        <f>'1st Innings'!I78</f>
        <v>Muhaddis</v>
      </c>
      <c r="J78" s="17" t="str">
        <f>'1st Innings'!J78</f>
        <v>Vimal  Nair</v>
      </c>
      <c r="K78" s="17" t="str">
        <f>'1st Innings'!K78</f>
        <v xml:space="preserve">Mark Soffer </v>
      </c>
      <c r="L78" s="17" t="str">
        <f>'1st Innings'!L78</f>
        <v>Riski Sanjaya</v>
      </c>
      <c r="M78" s="17" t="str">
        <f>'1st Innings'!M78</f>
        <v>Suresh Chidambaram</v>
      </c>
      <c r="N78" s="17" t="str">
        <f>'1st Innings'!N78</f>
        <v>Rizwan Khan</v>
      </c>
      <c r="O78" s="17" t="str">
        <f>'1st Innings'!O78</f>
        <v>Sravan Kumar</v>
      </c>
      <c r="P78" s="17" t="str">
        <f>'1st Innings'!P78</f>
        <v>Rehan Abdul Ghaffar</v>
      </c>
      <c r="Q78" s="54"/>
      <c r="S78" s="3"/>
      <c r="T78" s="3"/>
      <c r="U78" s="56"/>
      <c r="V78" s="3"/>
      <c r="W78" s="56"/>
      <c r="X78" s="56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</row>
    <row r="79" spans="1:62" x14ac:dyDescent="0.25">
      <c r="A79" s="17" t="str">
        <f>'1st Innings'!A79</f>
        <v>Srinivas Murthy</v>
      </c>
      <c r="B79" s="17" t="str">
        <f>'1st Innings'!B79</f>
        <v>SAJITH PULLARKAT</v>
      </c>
      <c r="C79" s="17" t="str">
        <f>'1st Innings'!C79</f>
        <v>Ruthra Kumar Loganathan</v>
      </c>
      <c r="D79" s="17" t="str">
        <f>'1st Innings'!D79</f>
        <v>Reuben Brimage</v>
      </c>
      <c r="E79" s="17" t="str">
        <f>'1st Innings'!E79</f>
        <v>Sudir Sharma</v>
      </c>
      <c r="F79" s="17" t="str">
        <f>'1st Innings'!F79</f>
        <v>Rupesh Shah</v>
      </c>
      <c r="G79" s="17">
        <f>'1st Innings'!G79</f>
        <v>0</v>
      </c>
      <c r="H79" s="17">
        <f>'1st Innings'!H79</f>
        <v>0</v>
      </c>
      <c r="I79" s="17" t="str">
        <f>'1st Innings'!I79</f>
        <v>Parag Haldankar</v>
      </c>
      <c r="J79" s="17" t="str">
        <f>'1st Innings'!J79</f>
        <v>Vivek Nath Balasundaram</v>
      </c>
      <c r="K79" s="17" t="str">
        <f>'1st Innings'!K79</f>
        <v>Marten Eddy</v>
      </c>
      <c r="L79" s="17" t="str">
        <f>'1st Innings'!L79</f>
        <v>Rudolf Febyant Matatias</v>
      </c>
      <c r="M79" s="17" t="str">
        <f>'1st Innings'!M79</f>
        <v>Venkatesh Rajendran</v>
      </c>
      <c r="N79" s="17" t="str">
        <f>'1st Innings'!N79</f>
        <v>Roopesh Shah</v>
      </c>
      <c r="O79" s="17" t="str">
        <f>'1st Innings'!O79</f>
        <v>Surendra Khetan</v>
      </c>
      <c r="P79" s="17" t="str">
        <f>'1st Innings'!P79</f>
        <v>Riski Sanjaya</v>
      </c>
      <c r="Q79" s="54"/>
      <c r="S79" s="3"/>
      <c r="T79" s="3"/>
      <c r="U79" s="56"/>
      <c r="V79" s="3"/>
      <c r="W79" s="56"/>
      <c r="X79" s="56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</row>
    <row r="80" spans="1:62" x14ac:dyDescent="0.25">
      <c r="A80" s="17" t="str">
        <f>'1st Innings'!A80</f>
        <v>Suda Arsa</v>
      </c>
      <c r="B80" s="17" t="str">
        <f>'1st Innings'!B80</f>
        <v>Saleem</v>
      </c>
      <c r="C80" s="17" t="str">
        <f>'1st Innings'!C80</f>
        <v>Sambi Reddy Marella</v>
      </c>
      <c r="D80" s="17" t="str">
        <f>'1st Innings'!D80</f>
        <v>Rick Monaghan</v>
      </c>
      <c r="E80" s="17" t="str">
        <f>'1st Innings'!E80</f>
        <v>Suresh Kumar</v>
      </c>
      <c r="F80" s="17" t="str">
        <f>'1st Innings'!F80</f>
        <v>Saleem Khan</v>
      </c>
      <c r="G80" s="17">
        <f>'1st Innings'!G80</f>
        <v>0</v>
      </c>
      <c r="H80" s="17">
        <f>'1st Innings'!H80</f>
        <v>0</v>
      </c>
      <c r="I80" s="17" t="str">
        <f>'1st Innings'!I80</f>
        <v>Prakash Vijaykumar</v>
      </c>
      <c r="J80" s="17">
        <f>'1st Innings'!J80</f>
        <v>0</v>
      </c>
      <c r="K80" s="17" t="str">
        <f>'1st Innings'!K80</f>
        <v>Mick Dumenil</v>
      </c>
      <c r="L80" s="17" t="str">
        <f>'1st Innings'!L80</f>
        <v>Sachin Gopalan</v>
      </c>
      <c r="M80" s="17">
        <f>'1st Innings'!M80</f>
        <v>0</v>
      </c>
      <c r="N80" s="17" t="str">
        <f>'1st Innings'!N80</f>
        <v>Roy Roy</v>
      </c>
      <c r="O80" s="17" t="str">
        <f>'1st Innings'!O80</f>
        <v>Sushil Khanna</v>
      </c>
      <c r="P80" s="17" t="str">
        <f>'1st Innings'!F85</f>
        <v>Taimur Khan</v>
      </c>
      <c r="Q80" s="54"/>
      <c r="S80" s="3"/>
      <c r="T80" s="3"/>
      <c r="U80" s="56"/>
      <c r="V80" s="3"/>
      <c r="W80" s="56"/>
      <c r="X80" s="56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</row>
    <row r="81" spans="1:66" x14ac:dyDescent="0.25">
      <c r="A81" s="17" t="str">
        <f>'1st Innings'!A81</f>
        <v>SUHAIL MODAK</v>
      </c>
      <c r="B81" s="17" t="str">
        <f>'1st Innings'!B81</f>
        <v>Sameem</v>
      </c>
      <c r="C81" s="17" t="str">
        <f>'1st Innings'!C81</f>
        <v>Sankar Velayudham</v>
      </c>
      <c r="D81" s="17" t="str">
        <f>'1st Innings'!D81</f>
        <v>Sam Mabey</v>
      </c>
      <c r="E81" s="17" t="str">
        <f>'1st Innings'!E81</f>
        <v>Vinod Verghese</v>
      </c>
      <c r="F81" s="17" t="str">
        <f>'1st Innings'!F81</f>
        <v>Sameem Khan</v>
      </c>
      <c r="G81" s="17">
        <f>'1st Innings'!G81</f>
        <v>0</v>
      </c>
      <c r="H81" s="17">
        <f>'1st Innings'!H81</f>
        <v>0</v>
      </c>
      <c r="I81" s="17" t="str">
        <f>'1st Innings'!I81</f>
        <v>Prem Subramanian</v>
      </c>
      <c r="J81" s="17">
        <f>'1st Innings'!J81</f>
        <v>0</v>
      </c>
      <c r="K81" s="17" t="str">
        <f>'1st Innings'!K81</f>
        <v>Morgan McKellar</v>
      </c>
      <c r="L81" s="17" t="str">
        <f>'1st Innings'!L81</f>
        <v>Widi Abdurahman Hamid</v>
      </c>
      <c r="M81" s="17">
        <f>'1st Innings'!M81</f>
        <v>0</v>
      </c>
      <c r="N81" s="17" t="str">
        <f>'1st Innings'!N81</f>
        <v>Samir Sharma</v>
      </c>
      <c r="O81" s="17" t="str">
        <f>'1st Innings'!O81</f>
        <v>Susil Khanna</v>
      </c>
      <c r="P81" s="17" t="str">
        <f>'1st Innings'!P81</f>
        <v>Saini Sumit</v>
      </c>
      <c r="Q81" s="54"/>
      <c r="S81" s="3"/>
      <c r="T81" s="3"/>
      <c r="U81" s="56"/>
      <c r="V81" s="3"/>
      <c r="W81" s="56"/>
      <c r="X81" s="56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</row>
    <row r="82" spans="1:66" x14ac:dyDescent="0.25">
      <c r="A82" s="17" t="str">
        <f>'1st Innings'!A82</f>
        <v>Sultan Saleh Uddin Moon</v>
      </c>
      <c r="B82" s="17" t="str">
        <f>'1st Innings'!B82</f>
        <v>TIMOTHY PUSHPAKUMARA</v>
      </c>
      <c r="C82" s="17" t="str">
        <f>'1st Innings'!C82</f>
        <v>Sathyanarayana Mendarkar</v>
      </c>
      <c r="D82" s="17" t="str">
        <f>'1st Innings'!D82</f>
        <v>Sam Mirza</v>
      </c>
      <c r="E82" s="17" t="str">
        <f>'1st Innings'!E82</f>
        <v>Vishnu Kumar</v>
      </c>
      <c r="F82" s="17" t="str">
        <f>'1st Innings'!F82</f>
        <v>Shekhar Saraf</v>
      </c>
      <c r="G82" s="17">
        <f>'1st Innings'!G82</f>
        <v>0</v>
      </c>
      <c r="H82" s="17">
        <f>'1st Innings'!H82</f>
        <v>0</v>
      </c>
      <c r="I82" s="17" t="str">
        <f>'1st Innings'!I82</f>
        <v>Puneet Khurana</v>
      </c>
      <c r="J82" s="17">
        <f>'1st Innings'!J82</f>
        <v>0</v>
      </c>
      <c r="K82" s="17" t="str">
        <f>'1st Innings'!K82</f>
        <v>Nikhilesh</v>
      </c>
      <c r="L82" s="17" t="str">
        <f>'1st Innings'!L82</f>
        <v>Yeri Rosongna</v>
      </c>
      <c r="M82" s="17">
        <f>'1st Innings'!M82</f>
        <v>0</v>
      </c>
      <c r="N82" s="17" t="str">
        <f>'1st Innings'!N82</f>
        <v>Sandeep Gaikwad</v>
      </c>
      <c r="O82" s="17" t="str">
        <f>'1st Innings'!O82</f>
        <v>Swaroop Chavan J</v>
      </c>
      <c r="P82" s="17" t="str">
        <f>'1st Innings'!P82</f>
        <v>Shivanand Daddimani</v>
      </c>
      <c r="Q82" s="54"/>
      <c r="S82" s="3"/>
      <c r="T82" s="3"/>
      <c r="U82" s="56"/>
      <c r="V82" s="3"/>
      <c r="W82" s="56"/>
      <c r="X82" s="56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</row>
    <row r="83" spans="1:66" x14ac:dyDescent="0.25">
      <c r="A83" s="17" t="str">
        <f>'1st Innings'!A83</f>
        <v>Surendran Chandramohan</v>
      </c>
      <c r="B83" s="17" t="str">
        <f>'1st Innings'!B83</f>
        <v>Usman Afridi</v>
      </c>
      <c r="C83" s="17" t="str">
        <f>'1st Innings'!C83</f>
        <v>Shashank Arora</v>
      </c>
      <c r="D83" s="17" t="str">
        <f>'1st Innings'!D83</f>
        <v>Scott Masson</v>
      </c>
      <c r="E83" s="17" t="str">
        <f>'1st Innings'!E83</f>
        <v>Vishwajit Tripathi</v>
      </c>
      <c r="F83" s="17" t="str">
        <f>'1st Innings'!F83</f>
        <v>Subhash Mogdil</v>
      </c>
      <c r="G83" s="17">
        <f>'1st Innings'!G83</f>
        <v>0</v>
      </c>
      <c r="H83" s="17">
        <f>'1st Innings'!H83</f>
        <v>0</v>
      </c>
      <c r="I83" s="17" t="str">
        <f>'1st Innings'!I83</f>
        <v>Raj Kapadia</v>
      </c>
      <c r="J83" s="17">
        <f>'1st Innings'!J83</f>
        <v>0</v>
      </c>
      <c r="K83" s="17" t="str">
        <f>'1st Innings'!K83</f>
        <v>OP Rajesh</v>
      </c>
      <c r="L83" s="17">
        <f>'1st Innings'!L83</f>
        <v>0</v>
      </c>
      <c r="M83" s="17">
        <f>'1st Innings'!M83</f>
        <v>0</v>
      </c>
      <c r="N83" s="17" t="str">
        <f>'1st Innings'!N83</f>
        <v>Sanjeev Modi</v>
      </c>
      <c r="O83" s="17" t="str">
        <f>'1st Innings'!O83</f>
        <v>Vijay Srinivasan</v>
      </c>
      <c r="P83" s="17" t="str">
        <f>'1st Innings'!P83</f>
        <v>Sridhar Sasikumar</v>
      </c>
      <c r="Q83" s="54"/>
      <c r="S83" s="3"/>
      <c r="T83" s="3"/>
      <c r="U83" s="56"/>
      <c r="V83" s="3"/>
      <c r="W83" s="56"/>
      <c r="X83" s="56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</row>
    <row r="84" spans="1:66" x14ac:dyDescent="0.25">
      <c r="A84" s="17" t="str">
        <f>'1st Innings'!A84</f>
        <v>TIM WATSON</v>
      </c>
      <c r="B84" s="17" t="str">
        <f>'1st Innings'!B84</f>
        <v>VINEET PRASANI</v>
      </c>
      <c r="C84" s="17" t="str">
        <f>'1st Innings'!C84</f>
        <v>Shivansh Jain</v>
      </c>
      <c r="D84" s="17" t="str">
        <f>'1st Innings'!D84</f>
        <v>Sean Hankin</v>
      </c>
      <c r="E84" s="17">
        <f>'1st Innings'!E84</f>
        <v>0</v>
      </c>
      <c r="F84" s="17" t="str">
        <f>'1st Innings'!F84</f>
        <v>Sushant Gambhir</v>
      </c>
      <c r="G84" s="17">
        <f>'1st Innings'!G84</f>
        <v>0</v>
      </c>
      <c r="H84" s="17">
        <f>'1st Innings'!H84</f>
        <v>0</v>
      </c>
      <c r="I84" s="17" t="str">
        <f>'1st Innings'!I84</f>
        <v>Rajiv Ramnarayan</v>
      </c>
      <c r="J84" s="17">
        <f>'1st Innings'!J84</f>
        <v>0</v>
      </c>
      <c r="K84" s="17" t="str">
        <f>'1st Innings'!K84</f>
        <v>Peter Boyd</v>
      </c>
      <c r="L84" s="17">
        <f>'1st Innings'!L84</f>
        <v>0</v>
      </c>
      <c r="M84" s="17">
        <f>'1st Innings'!M84</f>
        <v>0</v>
      </c>
      <c r="N84" s="17" t="str">
        <f>'1st Innings'!N84</f>
        <v>Satish Pansare</v>
      </c>
      <c r="O84" s="17" t="str">
        <f>'1st Innings'!O84</f>
        <v>Viplow Singh</v>
      </c>
      <c r="P84" s="17" t="str">
        <f>'1st Innings'!P84</f>
        <v>Suheal Ahmed Jaffery Kiranam</v>
      </c>
      <c r="Q84" s="54"/>
      <c r="S84" s="3"/>
      <c r="T84" s="3"/>
      <c r="U84" s="56"/>
      <c r="V84" s="3"/>
      <c r="W84" s="56"/>
      <c r="X84" s="56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</row>
    <row r="85" spans="1:66" x14ac:dyDescent="0.25">
      <c r="A85" s="17" t="str">
        <f>'1st Innings'!A85</f>
        <v>TOBY NUGENT</v>
      </c>
      <c r="B85" s="17">
        <f>'1st Innings'!B85</f>
        <v>0</v>
      </c>
      <c r="C85" s="17" t="str">
        <f>'1st Innings'!C85</f>
        <v>Sujay Kumar Saha</v>
      </c>
      <c r="D85" s="17" t="str">
        <f>'1st Innings'!D85</f>
        <v>Steve Cheshire</v>
      </c>
      <c r="E85" s="17">
        <f>'1st Innings'!E85</f>
        <v>0</v>
      </c>
      <c r="F85" s="17" t="str">
        <f>'1st Innings'!F85</f>
        <v>Taimur Khan</v>
      </c>
      <c r="G85" s="17">
        <f>'1st Innings'!G85</f>
        <v>0</v>
      </c>
      <c r="H85" s="17">
        <f>'1st Innings'!H85</f>
        <v>0</v>
      </c>
      <c r="I85" s="17" t="str">
        <f>'1st Innings'!I85</f>
        <v>Sandesh Pawar</v>
      </c>
      <c r="J85" s="17">
        <f>'1st Innings'!J85</f>
        <v>0</v>
      </c>
      <c r="K85" s="17" t="str">
        <f>'1st Innings'!K85</f>
        <v>Peter Johnson</v>
      </c>
      <c r="L85" s="17">
        <f>'1st Innings'!L85</f>
        <v>0</v>
      </c>
      <c r="M85" s="17">
        <f>'1st Innings'!M85</f>
        <v>0</v>
      </c>
      <c r="N85" s="17" t="str">
        <f>'1st Innings'!N85</f>
        <v>Satish Rani</v>
      </c>
      <c r="O85" s="17" t="str">
        <f>'1st Innings'!O85</f>
        <v>Vishal Garg</v>
      </c>
      <c r="P85" s="17" t="str">
        <f>'1st Innings'!P85</f>
        <v>Uttam Singh Gyan Singh</v>
      </c>
      <c r="Q85" s="54"/>
      <c r="S85" s="3"/>
      <c r="T85" s="3"/>
      <c r="U85" s="56"/>
      <c r="V85" s="3"/>
      <c r="W85" s="56"/>
      <c r="X85" s="56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</row>
    <row r="86" spans="1:66" x14ac:dyDescent="0.25">
      <c r="A86" s="17" t="str">
        <f>'1st Innings'!A86</f>
        <v>VIRAJ BHAMMAR</v>
      </c>
      <c r="B86" s="17">
        <f>'1st Innings'!B86</f>
        <v>0</v>
      </c>
      <c r="C86" s="17" t="str">
        <f>'1st Innings'!C86</f>
        <v>Syed Hameed</v>
      </c>
      <c r="D86" s="17" t="str">
        <f>'1st Innings'!D86</f>
        <v>Tim Gutsell</v>
      </c>
      <c r="E86" s="17">
        <f>'1st Innings'!E86</f>
        <v>0</v>
      </c>
      <c r="F86" s="17" t="str">
        <f>'1st Innings'!F86</f>
        <v>Vignesh Mahadevan</v>
      </c>
      <c r="G86" s="17">
        <f>'1st Innings'!G86</f>
        <v>0</v>
      </c>
      <c r="H86" s="17">
        <f>'1st Innings'!H86</f>
        <v>0</v>
      </c>
      <c r="I86" s="17" t="str">
        <f>'1st Innings'!I86</f>
        <v>Saqib Khan</v>
      </c>
      <c r="J86" s="17">
        <f>'1st Innings'!J86</f>
        <v>0</v>
      </c>
      <c r="K86" s="17" t="str">
        <f>'1st Innings'!K86</f>
        <v>Peter Wallace</v>
      </c>
      <c r="L86" s="17">
        <f>'1st Innings'!L86</f>
        <v>0</v>
      </c>
      <c r="M86" s="17">
        <f>'1st Innings'!M86</f>
        <v>0</v>
      </c>
      <c r="N86" s="17" t="str">
        <f>'1st Innings'!N86</f>
        <v>Shankar CS</v>
      </c>
      <c r="O86" s="17">
        <f>'1st Innings'!O86</f>
        <v>0</v>
      </c>
      <c r="P86" s="17" t="str">
        <f>'1st Innings'!P86</f>
        <v>Vijay Kumar</v>
      </c>
      <c r="Q86" s="54"/>
      <c r="S86" s="3"/>
      <c r="T86" s="3"/>
      <c r="U86" s="56"/>
      <c r="V86" s="3"/>
      <c r="W86" s="56"/>
      <c r="X86" s="56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</row>
    <row r="87" spans="1:66" x14ac:dyDescent="0.25">
      <c r="A87" s="17" t="str">
        <f>'1st Innings'!A87</f>
        <v>WILFRED SCHULTZ</v>
      </c>
      <c r="B87" s="17">
        <f>'1st Innings'!B87</f>
        <v>0</v>
      </c>
      <c r="C87" s="17" t="str">
        <f>'1st Innings'!C87</f>
        <v>Tanmay Patel</v>
      </c>
      <c r="D87" s="17">
        <f>'1st Innings'!D87</f>
        <v>0</v>
      </c>
      <c r="E87" s="17">
        <f>'1st Innings'!E87</f>
        <v>0</v>
      </c>
      <c r="F87" s="17" t="str">
        <f>'1st Innings'!F87</f>
        <v>Yashpal Rathor</v>
      </c>
      <c r="G87" s="17">
        <f>'1st Innings'!G87</f>
        <v>0</v>
      </c>
      <c r="H87" s="17">
        <f>'1st Innings'!H87</f>
        <v>0</v>
      </c>
      <c r="I87" s="17" t="str">
        <f>'1st Innings'!I87</f>
        <v>Shubho Sarkar</v>
      </c>
      <c r="J87" s="17">
        <f>'1st Innings'!J87</f>
        <v>0</v>
      </c>
      <c r="K87" s="17" t="str">
        <f>'1st Innings'!K87</f>
        <v xml:space="preserve">Phil Reid </v>
      </c>
      <c r="L87" s="17">
        <f>'1st Innings'!L87</f>
        <v>0</v>
      </c>
      <c r="M87" s="17">
        <f>'1st Innings'!M87</f>
        <v>0</v>
      </c>
      <c r="N87" s="17" t="str">
        <f>'1st Innings'!N87</f>
        <v>Shivaz Monga</v>
      </c>
      <c r="O87" s="17">
        <f>'1st Innings'!O87</f>
        <v>0</v>
      </c>
      <c r="P87" s="17" t="str">
        <f>'1st Innings'!P87</f>
        <v>Yashpal Rathore</v>
      </c>
      <c r="Q87" s="54"/>
      <c r="S87" s="3"/>
      <c r="T87" s="3"/>
      <c r="U87" s="56"/>
      <c r="V87" s="56"/>
      <c r="W87" s="56"/>
      <c r="X87" s="56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</row>
    <row r="88" spans="1:66" x14ac:dyDescent="0.25">
      <c r="A88" s="17" t="str">
        <f>'1st Innings'!A88</f>
        <v>WILLIAM NORONHA</v>
      </c>
      <c r="B88" s="17">
        <f>'1st Innings'!B88</f>
        <v>0</v>
      </c>
      <c r="C88" s="17" t="str">
        <f>'1st Innings'!C88</f>
        <v>Vijay Krishnan</v>
      </c>
      <c r="D88" s="17">
        <f>'1st Innings'!D88</f>
        <v>0</v>
      </c>
      <c r="E88" s="17">
        <f>'1st Innings'!E88</f>
        <v>0</v>
      </c>
      <c r="F88" s="17">
        <f>'1st Innings'!F88</f>
        <v>0</v>
      </c>
      <c r="G88" s="17">
        <f>'1st Innings'!G88</f>
        <v>0</v>
      </c>
      <c r="H88" s="17">
        <f>'1st Innings'!H88</f>
        <v>0</v>
      </c>
      <c r="I88" s="17" t="str">
        <f>'1st Innings'!I88</f>
        <v>Shubhraneel Mitra</v>
      </c>
      <c r="J88" s="17">
        <f>'1st Innings'!J88</f>
        <v>0</v>
      </c>
      <c r="K88" s="17" t="str">
        <f>'1st Innings'!K88</f>
        <v>Robert Baldwin</v>
      </c>
      <c r="L88" s="17">
        <f>'1st Innings'!L88</f>
        <v>0</v>
      </c>
      <c r="M88" s="17">
        <f>'1st Innings'!M88</f>
        <v>0</v>
      </c>
      <c r="N88" s="17" t="str">
        <f>'1st Innings'!N88</f>
        <v>Shobit Tandon</v>
      </c>
      <c r="O88" s="17">
        <f>'1st Innings'!O88</f>
        <v>0</v>
      </c>
      <c r="P88" s="17">
        <f>'1st Innings'!P88</f>
        <v>0</v>
      </c>
      <c r="Q88" s="54"/>
      <c r="S88" s="3"/>
      <c r="T88" s="3"/>
      <c r="U88" s="56"/>
      <c r="V88" s="3"/>
      <c r="W88" s="56"/>
      <c r="X88" s="56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</row>
    <row r="89" spans="1:66" x14ac:dyDescent="0.25">
      <c r="A89" s="17" t="str">
        <f>'1st Innings'!A89</f>
        <v>ZACARIAH CUTCLIFFE</v>
      </c>
      <c r="B89" s="17">
        <f>'1st Innings'!B89</f>
        <v>0</v>
      </c>
      <c r="C89" s="17" t="str">
        <f>'1st Innings'!C89</f>
        <v>Vijaya Varma Sayyaparaju</v>
      </c>
      <c r="D89" s="17">
        <f>'1st Innings'!D89</f>
        <v>0</v>
      </c>
      <c r="E89" s="17">
        <f>'1st Innings'!E89</f>
        <v>0</v>
      </c>
      <c r="F89" s="17">
        <f>'1st Innings'!F89</f>
        <v>0</v>
      </c>
      <c r="G89" s="17">
        <f>'1st Innings'!G89</f>
        <v>0</v>
      </c>
      <c r="H89" s="17">
        <f>'1st Innings'!H89</f>
        <v>0</v>
      </c>
      <c r="I89" s="17" t="str">
        <f>'1st Innings'!I89</f>
        <v>Soni Hawoe</v>
      </c>
      <c r="J89" s="17">
        <f>'1st Innings'!J89</f>
        <v>0</v>
      </c>
      <c r="K89" s="17" t="str">
        <f>'1st Innings'!K89</f>
        <v>Rohit Nair</v>
      </c>
      <c r="L89" s="17">
        <f>'1st Innings'!L89</f>
        <v>0</v>
      </c>
      <c r="M89" s="17">
        <f>'1st Innings'!M89</f>
        <v>0</v>
      </c>
      <c r="N89" s="17" t="str">
        <f>'1st Innings'!N89</f>
        <v>Vijay Kumar S</v>
      </c>
      <c r="O89" s="17">
        <f>'1st Innings'!O89</f>
        <v>0</v>
      </c>
      <c r="P89" s="17">
        <f>'1st Innings'!P89</f>
        <v>0</v>
      </c>
      <c r="Q89" s="54"/>
      <c r="R89" s="3"/>
      <c r="S89" s="3"/>
      <c r="T89" s="3"/>
      <c r="U89" s="56"/>
      <c r="V89" s="3"/>
      <c r="W89" s="56"/>
      <c r="X89" s="56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</row>
    <row r="90" spans="1:66" x14ac:dyDescent="0.25">
      <c r="A90" s="17" t="str">
        <f>'1st Innings'!A90</f>
        <v>Zulki Hamid</v>
      </c>
      <c r="B90" s="17">
        <f>'1st Innings'!B90</f>
        <v>0</v>
      </c>
      <c r="C90" s="17" t="str">
        <f>'1st Innings'!C90</f>
        <v>Vinod Bisht</v>
      </c>
      <c r="D90" s="17">
        <f>'1st Innings'!D90</f>
        <v>0</v>
      </c>
      <c r="E90" s="17">
        <f>'1st Innings'!E90</f>
        <v>0</v>
      </c>
      <c r="F90" s="17">
        <f>'1st Innings'!F90</f>
        <v>0</v>
      </c>
      <c r="G90" s="17">
        <f>'1st Innings'!G90</f>
        <v>0</v>
      </c>
      <c r="H90" s="17">
        <f>'1st Innings'!H90</f>
        <v>0</v>
      </c>
      <c r="I90" s="17" t="str">
        <f>'1st Innings'!I90</f>
        <v>Sucheet Parikh</v>
      </c>
      <c r="J90" s="17">
        <f>'1st Innings'!J90</f>
        <v>0</v>
      </c>
      <c r="K90" s="17" t="str">
        <f>'1st Innings'!K90</f>
        <v>Romesh Paul</v>
      </c>
      <c r="L90" s="17">
        <f>'1st Innings'!L90</f>
        <v>0</v>
      </c>
      <c r="M90" s="17">
        <f>'1st Innings'!M90</f>
        <v>0</v>
      </c>
      <c r="N90" s="17" t="str">
        <f>'1st Innings'!N90</f>
        <v>Vikas Gupta</v>
      </c>
      <c r="O90" s="17">
        <f>'1st Innings'!O90</f>
        <v>0</v>
      </c>
      <c r="P90" s="17">
        <f>'1st Innings'!P90</f>
        <v>0</v>
      </c>
      <c r="Q90" s="54"/>
      <c r="R90" s="3"/>
      <c r="S90" s="3"/>
      <c r="T90" s="3"/>
      <c r="U90" s="56"/>
      <c r="V90" s="3"/>
      <c r="W90" s="56"/>
      <c r="X90" s="56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</row>
    <row r="91" spans="1:66" x14ac:dyDescent="0.25">
      <c r="A91" s="17">
        <f>'1st Innings'!A91</f>
        <v>0</v>
      </c>
      <c r="B91" s="17">
        <f>'1st Innings'!B91</f>
        <v>0</v>
      </c>
      <c r="C91" s="17" t="str">
        <f>'1st Innings'!C91</f>
        <v>Vivek Shetty</v>
      </c>
      <c r="D91" s="17">
        <f>'1st Innings'!D91</f>
        <v>0</v>
      </c>
      <c r="E91" s="17">
        <f>'1st Innings'!E91</f>
        <v>0</v>
      </c>
      <c r="F91" s="17">
        <f>'1st Innings'!F91</f>
        <v>0</v>
      </c>
      <c r="G91" s="17">
        <f>'1st Innings'!G91</f>
        <v>0</v>
      </c>
      <c r="H91" s="17">
        <f>'1st Innings'!H91</f>
        <v>0</v>
      </c>
      <c r="I91" s="17">
        <f>'1st Innings'!I91</f>
        <v>0</v>
      </c>
      <c r="J91" s="17">
        <f>'1st Innings'!J91</f>
        <v>0</v>
      </c>
      <c r="K91" s="17" t="str">
        <f>'1st Innings'!K91</f>
        <v>Sam Levick</v>
      </c>
      <c r="L91" s="17">
        <f>'1st Innings'!L91</f>
        <v>0</v>
      </c>
      <c r="M91" s="17">
        <f>'1st Innings'!M91</f>
        <v>0</v>
      </c>
      <c r="N91" s="17" t="str">
        <f>'1st Innings'!N91</f>
        <v>Vinod Myakkam</v>
      </c>
      <c r="O91" s="17">
        <f>'1st Innings'!O91</f>
        <v>0</v>
      </c>
      <c r="P91" s="17">
        <f>'1st Innings'!P91</f>
        <v>0</v>
      </c>
      <c r="Q91" s="54"/>
      <c r="R91" s="3"/>
      <c r="S91" s="3"/>
      <c r="T91" s="3"/>
      <c r="U91" s="56"/>
      <c r="V91" s="3"/>
      <c r="W91" s="56"/>
      <c r="X91" s="56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</row>
    <row r="92" spans="1:66" x14ac:dyDescent="0.25">
      <c r="A92" s="17">
        <f>'1st Innings'!A92</f>
        <v>0</v>
      </c>
      <c r="B92" s="17">
        <f>'1st Innings'!B92</f>
        <v>0</v>
      </c>
      <c r="C92" s="17" t="str">
        <f>'1st Innings'!C92</f>
        <v>Vivek Tripathi</v>
      </c>
      <c r="D92" s="17">
        <f>'1st Innings'!D92</f>
        <v>0</v>
      </c>
      <c r="E92" s="17">
        <f>'1st Innings'!E92</f>
        <v>0</v>
      </c>
      <c r="F92" s="17">
        <f>'1st Innings'!F92</f>
        <v>0</v>
      </c>
      <c r="G92" s="17">
        <f>'1st Innings'!G92</f>
        <v>0</v>
      </c>
      <c r="H92" s="17">
        <f>'1st Innings'!H92</f>
        <v>0</v>
      </c>
      <c r="I92" s="17">
        <f>'1st Innings'!I92</f>
        <v>0</v>
      </c>
      <c r="J92" s="17">
        <f>'1st Innings'!J92</f>
        <v>0</v>
      </c>
      <c r="K92" s="17" t="str">
        <f>'1st Innings'!K92</f>
        <v xml:space="preserve">Simon Williams </v>
      </c>
      <c r="L92" s="17">
        <f>'1st Innings'!L92</f>
        <v>0</v>
      </c>
      <c r="M92" s="17">
        <f>'1st Innings'!M92</f>
        <v>0</v>
      </c>
      <c r="N92" s="17" t="str">
        <f>'1st Innings'!N92</f>
        <v>Vishav Sharma</v>
      </c>
      <c r="O92" s="17">
        <f>'1st Innings'!O92</f>
        <v>0</v>
      </c>
      <c r="P92" s="17">
        <f>'1st Innings'!P92</f>
        <v>0</v>
      </c>
      <c r="Q92" s="54"/>
      <c r="R92" s="3"/>
      <c r="S92" s="3"/>
      <c r="T92" s="3"/>
      <c r="U92" s="56"/>
      <c r="V92" s="3"/>
      <c r="W92" s="56"/>
      <c r="X92" s="56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</row>
    <row r="93" spans="1:66" x14ac:dyDescent="0.25">
      <c r="A93" s="17">
        <f>'1st Innings'!A93</f>
        <v>0</v>
      </c>
      <c r="B93" s="17">
        <f>'1st Innings'!B93</f>
        <v>0</v>
      </c>
      <c r="C93" s="17">
        <f>'1st Innings'!C93</f>
        <v>0</v>
      </c>
      <c r="D93" s="17">
        <f>'1st Innings'!D93</f>
        <v>0</v>
      </c>
      <c r="E93" s="17">
        <f>'1st Innings'!E93</f>
        <v>0</v>
      </c>
      <c r="F93" s="17">
        <f>'1st Innings'!F93</f>
        <v>0</v>
      </c>
      <c r="G93" s="17">
        <f>'1st Innings'!G93</f>
        <v>0</v>
      </c>
      <c r="H93" s="17">
        <f>'1st Innings'!H93</f>
        <v>0</v>
      </c>
      <c r="I93" s="17">
        <f>'1st Innings'!I93</f>
        <v>0</v>
      </c>
      <c r="J93" s="17">
        <f>'1st Innings'!J93</f>
        <v>0</v>
      </c>
      <c r="K93" s="17" t="str">
        <f>'1st Innings'!K93</f>
        <v>Sivarama Yegnaraman</v>
      </c>
      <c r="L93" s="17">
        <f>'1st Innings'!L93</f>
        <v>0</v>
      </c>
      <c r="M93" s="17">
        <f>'1st Innings'!M93</f>
        <v>0</v>
      </c>
      <c r="N93" s="17" t="str">
        <f>'1st Innings'!N93</f>
        <v>Yogish Lad</v>
      </c>
      <c r="O93" s="17">
        <f>'1st Innings'!O93</f>
        <v>0</v>
      </c>
      <c r="P93" s="17">
        <f>'1st Innings'!P93</f>
        <v>0</v>
      </c>
      <c r="Q93" s="54"/>
      <c r="R93" s="3"/>
      <c r="S93" s="3"/>
      <c r="T93" s="3"/>
      <c r="U93" s="56"/>
      <c r="V93" s="3"/>
      <c r="W93" s="56"/>
      <c r="X93" s="56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</row>
    <row r="94" spans="1:66" x14ac:dyDescent="0.25">
      <c r="A94" s="17">
        <f>'1st Innings'!A94</f>
        <v>0</v>
      </c>
      <c r="B94" s="17">
        <f>'1st Innings'!B94</f>
        <v>0</v>
      </c>
      <c r="C94" s="17">
        <f>'1st Innings'!C94</f>
        <v>0</v>
      </c>
      <c r="D94" s="17">
        <f>'1st Innings'!D94</f>
        <v>0</v>
      </c>
      <c r="E94" s="17">
        <f>'1st Innings'!E94</f>
        <v>0</v>
      </c>
      <c r="F94" s="17">
        <f>'1st Innings'!F94</f>
        <v>0</v>
      </c>
      <c r="G94" s="17">
        <f>'1st Innings'!G94</f>
        <v>0</v>
      </c>
      <c r="H94" s="17">
        <f>'1st Innings'!H94</f>
        <v>0</v>
      </c>
      <c r="I94" s="17">
        <f>'1st Innings'!I94</f>
        <v>0</v>
      </c>
      <c r="J94" s="17">
        <f>'1st Innings'!J94</f>
        <v>0</v>
      </c>
      <c r="K94" s="17" t="str">
        <f>'1st Innings'!K94</f>
        <v>Stephen Barber</v>
      </c>
      <c r="L94" s="17">
        <f>'1st Innings'!L94</f>
        <v>0</v>
      </c>
      <c r="M94" s="17">
        <f>'1st Innings'!M94</f>
        <v>0</v>
      </c>
      <c r="N94" s="17">
        <f>'1st Innings'!N94</f>
        <v>0</v>
      </c>
      <c r="O94" s="17">
        <f>'1st Innings'!O94</f>
        <v>0</v>
      </c>
      <c r="P94" s="17">
        <f>'1st Innings'!P94</f>
        <v>0</v>
      </c>
      <c r="Q94" s="54"/>
      <c r="R94" s="3"/>
      <c r="S94" s="3"/>
      <c r="T94" s="3"/>
      <c r="U94" s="56"/>
      <c r="V94" s="56"/>
      <c r="W94" s="56"/>
      <c r="X94" s="56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</row>
    <row r="95" spans="1:66" x14ac:dyDescent="0.25">
      <c r="A95" s="17">
        <f>'1st Innings'!A95</f>
        <v>0</v>
      </c>
      <c r="B95" s="17">
        <f>'1st Innings'!B95</f>
        <v>0</v>
      </c>
      <c r="C95" s="17">
        <f>'1st Innings'!C95</f>
        <v>0</v>
      </c>
      <c r="D95" s="17">
        <f>'1st Innings'!D95</f>
        <v>0</v>
      </c>
      <c r="E95" s="17">
        <f>'1st Innings'!E95</f>
        <v>0</v>
      </c>
      <c r="F95" s="17">
        <f>'1st Innings'!F95</f>
        <v>0</v>
      </c>
      <c r="G95" s="17">
        <f>'1st Innings'!G95</f>
        <v>0</v>
      </c>
      <c r="H95" s="17">
        <f>'1st Innings'!H95</f>
        <v>0</v>
      </c>
      <c r="I95" s="17">
        <f>'1st Innings'!I95</f>
        <v>0</v>
      </c>
      <c r="J95" s="17">
        <f>'1st Innings'!J95</f>
        <v>0</v>
      </c>
      <c r="K95" s="17" t="str">
        <f>'1st Innings'!K95</f>
        <v>Steve Barraclough</v>
      </c>
      <c r="L95" s="17">
        <f>'1st Innings'!L95</f>
        <v>0</v>
      </c>
      <c r="M95" s="17">
        <f>'1st Innings'!M95</f>
        <v>0</v>
      </c>
      <c r="N95" s="17">
        <f>'1st Innings'!N95</f>
        <v>0</v>
      </c>
      <c r="O95" s="17">
        <f>'1st Innings'!O95</f>
        <v>0</v>
      </c>
      <c r="P95" s="17">
        <f>'1st Innings'!P95</f>
        <v>0</v>
      </c>
      <c r="Q95" s="54"/>
      <c r="R95" s="3"/>
      <c r="W95" s="56"/>
      <c r="X95" s="56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</row>
    <row r="96" spans="1:66" x14ac:dyDescent="0.25">
      <c r="A96" s="17">
        <f>'1st Innings'!A96</f>
        <v>0</v>
      </c>
      <c r="B96" s="17">
        <f>'1st Innings'!B96</f>
        <v>0</v>
      </c>
      <c r="C96" s="17">
        <f>'1st Innings'!C96</f>
        <v>0</v>
      </c>
      <c r="D96" s="17">
        <f>'1st Innings'!D96</f>
        <v>0</v>
      </c>
      <c r="E96" s="17">
        <f>'1st Innings'!E96</f>
        <v>0</v>
      </c>
      <c r="F96" s="17">
        <f>'1st Innings'!F96</f>
        <v>0</v>
      </c>
      <c r="G96" s="17">
        <f>'1st Innings'!G96</f>
        <v>0</v>
      </c>
      <c r="H96" s="17">
        <f>'1st Innings'!H96</f>
        <v>0</v>
      </c>
      <c r="I96" s="17">
        <f>'1st Innings'!I96</f>
        <v>0</v>
      </c>
      <c r="J96" s="17">
        <f>'1st Innings'!J96</f>
        <v>0</v>
      </c>
      <c r="K96" s="17" t="str">
        <f>'1st Innings'!K96</f>
        <v>Steven Nealon</v>
      </c>
      <c r="L96" s="17">
        <f>'1st Innings'!L96</f>
        <v>0</v>
      </c>
      <c r="M96" s="17">
        <f>'1st Innings'!M96</f>
        <v>0</v>
      </c>
      <c r="N96" s="17">
        <f>'1st Innings'!N96</f>
        <v>0</v>
      </c>
      <c r="O96" s="17">
        <f>'1st Innings'!O96</f>
        <v>0</v>
      </c>
      <c r="P96" s="17">
        <f>'1st Innings'!P96</f>
        <v>0</v>
      </c>
      <c r="Q96" s="54"/>
      <c r="R96" s="3"/>
      <c r="S96" s="3"/>
      <c r="T96" s="56"/>
      <c r="U96" s="3"/>
      <c r="V96" s="56"/>
      <c r="X96" s="56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</row>
    <row r="97" spans="1:69" x14ac:dyDescent="0.25">
      <c r="A97" s="17">
        <f>'1st Innings'!A97</f>
        <v>0</v>
      </c>
      <c r="B97" s="17">
        <f>'1st Innings'!B97</f>
        <v>0</v>
      </c>
      <c r="C97" s="17">
        <f>'1st Innings'!C97</f>
        <v>0</v>
      </c>
      <c r="D97" s="17">
        <f>'1st Innings'!D97</f>
        <v>0</v>
      </c>
      <c r="E97" s="17">
        <f>'1st Innings'!E97</f>
        <v>0</v>
      </c>
      <c r="F97" s="17">
        <f>'1st Innings'!F97</f>
        <v>0</v>
      </c>
      <c r="G97" s="17">
        <f>'1st Innings'!G97</f>
        <v>0</v>
      </c>
      <c r="H97" s="17">
        <f>'1st Innings'!H97</f>
        <v>0</v>
      </c>
      <c r="I97" s="17">
        <f>'1st Innings'!I97</f>
        <v>0</v>
      </c>
      <c r="J97" s="17">
        <f>'1st Innings'!J97</f>
        <v>0</v>
      </c>
      <c r="K97" s="17" t="str">
        <f>'1st Innings'!K97</f>
        <v xml:space="preserve">Stew Lyons </v>
      </c>
      <c r="L97" s="17">
        <f>'1st Innings'!L97</f>
        <v>0</v>
      </c>
      <c r="M97" s="17">
        <f>'1st Innings'!M97</f>
        <v>0</v>
      </c>
      <c r="N97" s="17">
        <f>'1st Innings'!N97</f>
        <v>0</v>
      </c>
      <c r="O97" s="17">
        <f>'1st Innings'!O97</f>
        <v>0</v>
      </c>
      <c r="P97" s="17">
        <f>'1st Innings'!P97</f>
        <v>0</v>
      </c>
      <c r="Q97" s="54"/>
      <c r="R97" s="3"/>
      <c r="S97" s="3"/>
      <c r="T97" s="56"/>
      <c r="U97" s="56"/>
      <c r="V97" s="56"/>
      <c r="W97" s="56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</row>
    <row r="98" spans="1:69" x14ac:dyDescent="0.25">
      <c r="A98" s="17">
        <f>'1st Innings'!A98</f>
        <v>0</v>
      </c>
      <c r="B98" s="17">
        <f>'1st Innings'!B98</f>
        <v>0</v>
      </c>
      <c r="C98" s="17">
        <f>'1st Innings'!C98</f>
        <v>0</v>
      </c>
      <c r="D98" s="17">
        <f>'1st Innings'!D98</f>
        <v>0</v>
      </c>
      <c r="E98" s="17">
        <f>'1st Innings'!E98</f>
        <v>0</v>
      </c>
      <c r="F98" s="17">
        <f>'1st Innings'!F98</f>
        <v>0</v>
      </c>
      <c r="G98" s="17">
        <f>'1st Innings'!G98</f>
        <v>0</v>
      </c>
      <c r="H98" s="17">
        <f>'1st Innings'!H98</f>
        <v>0</v>
      </c>
      <c r="I98" s="17">
        <f>'1st Innings'!I98</f>
        <v>0</v>
      </c>
      <c r="J98" s="17">
        <f>'1st Innings'!J98</f>
        <v>0</v>
      </c>
      <c r="K98" s="17" t="str">
        <f>'1st Innings'!K98</f>
        <v>Suresh Subramanian</v>
      </c>
      <c r="L98" s="17">
        <f>'1st Innings'!L98</f>
        <v>0</v>
      </c>
      <c r="M98" s="17">
        <f>'1st Innings'!M98</f>
        <v>0</v>
      </c>
      <c r="N98" s="17">
        <f>'1st Innings'!N98</f>
        <v>0</v>
      </c>
      <c r="O98" s="17">
        <f>'1st Innings'!O98</f>
        <v>0</v>
      </c>
      <c r="P98" s="17">
        <f>'1st Innings'!P98</f>
        <v>0</v>
      </c>
      <c r="Q98" s="54"/>
      <c r="R98" s="3"/>
      <c r="S98" s="3"/>
      <c r="T98" s="56"/>
      <c r="U98" s="3"/>
      <c r="V98" s="56"/>
      <c r="W98" s="56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</row>
    <row r="99" spans="1:69" x14ac:dyDescent="0.25">
      <c r="A99" s="17">
        <f>'1st Innings'!A99</f>
        <v>0</v>
      </c>
      <c r="B99" s="17">
        <f>'1st Innings'!B99</f>
        <v>0</v>
      </c>
      <c r="C99" s="17">
        <f>'1st Innings'!C99</f>
        <v>0</v>
      </c>
      <c r="D99" s="17">
        <f>'1st Innings'!D99</f>
        <v>0</v>
      </c>
      <c r="E99" s="17">
        <f>'1st Innings'!E99</f>
        <v>0</v>
      </c>
      <c r="F99" s="17">
        <f>'1st Innings'!F99</f>
        <v>0</v>
      </c>
      <c r="G99" s="17">
        <f>'1st Innings'!G99</f>
        <v>0</v>
      </c>
      <c r="H99" s="17">
        <f>'1st Innings'!H99</f>
        <v>0</v>
      </c>
      <c r="I99" s="17">
        <f>'1st Innings'!I99</f>
        <v>0</v>
      </c>
      <c r="J99" s="17">
        <f>'1st Innings'!J99</f>
        <v>0</v>
      </c>
      <c r="K99" s="17" t="str">
        <f>'1st Innings'!K99</f>
        <v>Tim Simpson</v>
      </c>
      <c r="L99" s="17">
        <f>'1st Innings'!L99</f>
        <v>0</v>
      </c>
      <c r="M99" s="17">
        <f>'1st Innings'!M99</f>
        <v>0</v>
      </c>
      <c r="N99" s="17">
        <f>'1st Innings'!N99</f>
        <v>0</v>
      </c>
      <c r="O99" s="17">
        <f>'1st Innings'!O99</f>
        <v>0</v>
      </c>
      <c r="P99" s="17">
        <f>'1st Innings'!P99</f>
        <v>0</v>
      </c>
      <c r="Q99" s="54"/>
      <c r="R99" s="3"/>
      <c r="S99" s="3"/>
      <c r="T99" s="56"/>
      <c r="U99" s="56"/>
      <c r="V99" s="56"/>
      <c r="W99" s="56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</row>
    <row r="100" spans="1:69" x14ac:dyDescent="0.25">
      <c r="A100" s="17">
        <f>'1st Innings'!A100</f>
        <v>0</v>
      </c>
      <c r="B100" s="17">
        <f>'1st Innings'!B100</f>
        <v>0</v>
      </c>
      <c r="C100" s="17">
        <f>'1st Innings'!C100</f>
        <v>0</v>
      </c>
      <c r="D100" s="17">
        <f>'1st Innings'!D100</f>
        <v>0</v>
      </c>
      <c r="E100" s="17">
        <f>'1st Innings'!E100</f>
        <v>0</v>
      </c>
      <c r="F100" s="17">
        <f>'1st Innings'!F100</f>
        <v>0</v>
      </c>
      <c r="G100" s="17">
        <f>'1st Innings'!G100</f>
        <v>0</v>
      </c>
      <c r="H100" s="17">
        <f>'1st Innings'!H100</f>
        <v>0</v>
      </c>
      <c r="I100" s="17">
        <f>'1st Innings'!I100</f>
        <v>0</v>
      </c>
      <c r="J100" s="17">
        <f>'1st Innings'!J100</f>
        <v>0</v>
      </c>
      <c r="K100" s="17" t="str">
        <f>'1st Innings'!K100</f>
        <v>Warwick Peters</v>
      </c>
      <c r="L100" s="17">
        <f>'1st Innings'!L100</f>
        <v>0</v>
      </c>
      <c r="M100" s="17">
        <f>'1st Innings'!M100</f>
        <v>0</v>
      </c>
      <c r="N100" s="17">
        <f>'1st Innings'!N100</f>
        <v>0</v>
      </c>
      <c r="O100" s="17">
        <f>'1st Innings'!O100</f>
        <v>0</v>
      </c>
      <c r="P100" s="17">
        <f>'1st Innings'!P100</f>
        <v>0</v>
      </c>
      <c r="Q100" s="54"/>
      <c r="R100" s="3"/>
      <c r="S100" s="3"/>
      <c r="T100" s="56"/>
      <c r="U100" s="3"/>
      <c r="V100" s="56"/>
      <c r="W100" s="56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  <c r="BE100" s="57"/>
      <c r="BF100" s="57"/>
      <c r="BG100" s="57"/>
      <c r="BH100" s="57"/>
      <c r="BI100" s="57"/>
      <c r="BJ100" s="57"/>
      <c r="BK100" s="57"/>
      <c r="BL100" s="57"/>
      <c r="BM100" s="57"/>
      <c r="BN100" s="57"/>
      <c r="BO100" s="57"/>
    </row>
    <row r="101" spans="1:69" x14ac:dyDescent="0.25">
      <c r="A101" s="17">
        <f>'1st Innings'!A101</f>
        <v>0</v>
      </c>
      <c r="B101" s="17">
        <f>'1st Innings'!B101</f>
        <v>0</v>
      </c>
      <c r="C101" s="17">
        <f>'1st Innings'!C101</f>
        <v>0</v>
      </c>
      <c r="D101" s="17">
        <f>'1st Innings'!D101</f>
        <v>0</v>
      </c>
      <c r="E101" s="17">
        <f>'1st Innings'!E101</f>
        <v>0</v>
      </c>
      <c r="F101" s="17">
        <f>'1st Innings'!F101</f>
        <v>0</v>
      </c>
      <c r="G101" s="17">
        <f>'1st Innings'!G101</f>
        <v>0</v>
      </c>
      <c r="H101" s="17">
        <f>'1st Innings'!H101</f>
        <v>0</v>
      </c>
      <c r="I101" s="17">
        <f>'1st Innings'!I101</f>
        <v>0</v>
      </c>
      <c r="J101" s="17">
        <f>'1st Innings'!J101</f>
        <v>0</v>
      </c>
      <c r="K101" s="17">
        <f>'1st Innings'!K101</f>
        <v>0</v>
      </c>
      <c r="L101" s="17">
        <f>'1st Innings'!L101</f>
        <v>0</v>
      </c>
      <c r="M101" s="17">
        <f>'1st Innings'!M101</f>
        <v>0</v>
      </c>
      <c r="N101" s="17">
        <f>'1st Innings'!N101</f>
        <v>0</v>
      </c>
      <c r="O101" s="17">
        <f>'1st Innings'!O101</f>
        <v>0</v>
      </c>
      <c r="P101" s="17">
        <f>'1st Innings'!P101</f>
        <v>0</v>
      </c>
      <c r="Q101" s="54"/>
      <c r="S101" s="3"/>
      <c r="T101" s="56"/>
      <c r="U101" s="3"/>
      <c r="V101" s="56"/>
      <c r="W101" s="56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57"/>
      <c r="BD101" s="57"/>
      <c r="BE101" s="57"/>
      <c r="BF101" s="57"/>
      <c r="BG101" s="57"/>
      <c r="BH101" s="57"/>
      <c r="BI101" s="57"/>
      <c r="BJ101" s="57"/>
      <c r="BK101" s="57"/>
      <c r="BL101" s="57"/>
      <c r="BM101" s="57"/>
      <c r="BN101" s="57"/>
      <c r="BO101" s="57"/>
      <c r="BP101" s="57"/>
    </row>
    <row r="102" spans="1:69" x14ac:dyDescent="0.25">
      <c r="A102" s="17">
        <f>'1st Innings'!A102</f>
        <v>0</v>
      </c>
      <c r="B102" s="17">
        <f>'1st Innings'!B102</f>
        <v>0</v>
      </c>
      <c r="C102" s="17">
        <f>'1st Innings'!C102</f>
        <v>0</v>
      </c>
      <c r="D102" s="17">
        <f>'1st Innings'!D102</f>
        <v>0</v>
      </c>
      <c r="E102" s="17">
        <f>'1st Innings'!E102</f>
        <v>0</v>
      </c>
      <c r="F102" s="17">
        <f>'1st Innings'!F102</f>
        <v>0</v>
      </c>
      <c r="G102" s="17">
        <f>'1st Innings'!G102</f>
        <v>0</v>
      </c>
      <c r="H102" s="17">
        <f>'1st Innings'!H102</f>
        <v>0</v>
      </c>
      <c r="I102" s="17">
        <f>'1st Innings'!I102</f>
        <v>0</v>
      </c>
      <c r="J102" s="17">
        <f>'1st Innings'!J102</f>
        <v>0</v>
      </c>
      <c r="K102" s="17">
        <f>'1st Innings'!K102</f>
        <v>0</v>
      </c>
      <c r="L102" s="17">
        <f>'1st Innings'!L102</f>
        <v>0</v>
      </c>
      <c r="M102" s="17">
        <f>'1st Innings'!M102</f>
        <v>0</v>
      </c>
      <c r="N102" s="17">
        <f>'1st Innings'!N102</f>
        <v>0</v>
      </c>
      <c r="O102" s="17">
        <f>'1st Innings'!O102</f>
        <v>0</v>
      </c>
      <c r="P102" s="17">
        <f>'1st Innings'!P102</f>
        <v>0</v>
      </c>
      <c r="Q102" s="54"/>
      <c r="R102" s="57"/>
      <c r="S102" s="3"/>
      <c r="T102" s="56"/>
      <c r="U102" s="3"/>
      <c r="V102" s="56"/>
      <c r="W102" s="56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  <c r="BB102" s="57"/>
      <c r="BC102" s="57"/>
      <c r="BD102" s="57"/>
      <c r="BE102" s="57"/>
      <c r="BF102" s="57"/>
      <c r="BG102" s="57"/>
      <c r="BH102" s="57"/>
      <c r="BI102" s="57"/>
      <c r="BJ102" s="57"/>
      <c r="BK102" s="57"/>
      <c r="BL102" s="57"/>
      <c r="BM102" s="57"/>
      <c r="BN102" s="57"/>
      <c r="BO102" s="57"/>
      <c r="BP102" s="57"/>
    </row>
    <row r="103" spans="1:69" x14ac:dyDescent="0.25">
      <c r="A103" s="17">
        <f>'1st Innings'!A103</f>
        <v>0</v>
      </c>
      <c r="B103" s="17">
        <f>'1st Innings'!B103</f>
        <v>0</v>
      </c>
      <c r="C103" s="17">
        <f>'1st Innings'!C103</f>
        <v>0</v>
      </c>
      <c r="D103" s="17">
        <f>'1st Innings'!D103</f>
        <v>0</v>
      </c>
      <c r="E103" s="17">
        <f>'1st Innings'!E103</f>
        <v>0</v>
      </c>
      <c r="F103" s="17">
        <f>'1st Innings'!F103</f>
        <v>0</v>
      </c>
      <c r="G103" s="17">
        <f>'1st Innings'!G103</f>
        <v>0</v>
      </c>
      <c r="H103" s="17">
        <f>'1st Innings'!H103</f>
        <v>0</v>
      </c>
      <c r="I103" s="17">
        <f>'1st Innings'!I103</f>
        <v>0</v>
      </c>
      <c r="J103" s="17">
        <f>'1st Innings'!J103</f>
        <v>0</v>
      </c>
      <c r="K103" s="17">
        <f>'1st Innings'!K103</f>
        <v>0</v>
      </c>
      <c r="L103" s="17">
        <f>'1st Innings'!L103</f>
        <v>0</v>
      </c>
      <c r="M103" s="17">
        <f>'1st Innings'!M103</f>
        <v>0</v>
      </c>
      <c r="N103" s="17">
        <f>'1st Innings'!N103</f>
        <v>0</v>
      </c>
      <c r="O103" s="17">
        <f>'1st Innings'!O103</f>
        <v>0</v>
      </c>
      <c r="P103" s="17">
        <f>'1st Innings'!P103</f>
        <v>0</v>
      </c>
      <c r="Q103" s="54"/>
      <c r="R103" s="57"/>
      <c r="S103" s="3"/>
      <c r="T103" s="56"/>
      <c r="U103" s="3"/>
      <c r="V103" s="56"/>
      <c r="W103" s="56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</row>
    <row r="104" spans="1:69" x14ac:dyDescent="0.25">
      <c r="A104" s="17">
        <f>'1st Innings'!A104</f>
        <v>0</v>
      </c>
      <c r="B104" s="17">
        <f>'1st Innings'!B104</f>
        <v>0</v>
      </c>
      <c r="C104" s="17">
        <f>'1st Innings'!C104</f>
        <v>0</v>
      </c>
      <c r="D104" s="17">
        <f>'1st Innings'!D104</f>
        <v>0</v>
      </c>
      <c r="E104" s="17">
        <f>'1st Innings'!E104</f>
        <v>0</v>
      </c>
      <c r="F104" s="17">
        <f>'1st Innings'!F104</f>
        <v>0</v>
      </c>
      <c r="G104" s="17">
        <f>'1st Innings'!G104</f>
        <v>0</v>
      </c>
      <c r="H104" s="17">
        <f>'1st Innings'!H104</f>
        <v>0</v>
      </c>
      <c r="I104" s="17">
        <f>'1st Innings'!I104</f>
        <v>0</v>
      </c>
      <c r="J104" s="17">
        <f>'1st Innings'!J104</f>
        <v>0</v>
      </c>
      <c r="K104" s="17">
        <f>'1st Innings'!K104</f>
        <v>0</v>
      </c>
      <c r="L104" s="17">
        <f>'1st Innings'!L104</f>
        <v>0</v>
      </c>
      <c r="M104" s="17">
        <f>'1st Innings'!M104</f>
        <v>0</v>
      </c>
      <c r="N104" s="17">
        <f>'1st Innings'!N104</f>
        <v>0</v>
      </c>
      <c r="O104" s="17">
        <f>'1st Innings'!O104</f>
        <v>0</v>
      </c>
      <c r="P104" s="17">
        <f>'1st Innings'!P104</f>
        <v>0</v>
      </c>
      <c r="Q104" s="54"/>
      <c r="R104" s="57"/>
      <c r="S104" s="3"/>
      <c r="T104" s="56"/>
      <c r="U104" s="56"/>
      <c r="V104" s="56"/>
      <c r="W104" s="56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57"/>
      <c r="BD104" s="57"/>
      <c r="BE104" s="57"/>
      <c r="BF104" s="57"/>
      <c r="BG104" s="57"/>
      <c r="BH104" s="57"/>
      <c r="BI104" s="57"/>
      <c r="BJ104" s="57"/>
      <c r="BK104" s="57"/>
      <c r="BL104" s="57"/>
      <c r="BM104" s="57"/>
      <c r="BN104" s="57"/>
      <c r="BO104" s="57"/>
      <c r="BP104" s="57"/>
    </row>
    <row r="105" spans="1:69" x14ac:dyDescent="0.25">
      <c r="A105" s="17">
        <f>'1st Innings'!A105</f>
        <v>0</v>
      </c>
      <c r="B105" s="17">
        <f>'1st Innings'!B105</f>
        <v>0</v>
      </c>
      <c r="C105" s="17">
        <f>'1st Innings'!C105</f>
        <v>0</v>
      </c>
      <c r="D105" s="17">
        <f>'1st Innings'!D105</f>
        <v>0</v>
      </c>
      <c r="E105" s="17">
        <f>'1st Innings'!E105</f>
        <v>0</v>
      </c>
      <c r="F105" s="17">
        <f>'1st Innings'!F105</f>
        <v>0</v>
      </c>
      <c r="G105" s="17">
        <f>'1st Innings'!G105</f>
        <v>0</v>
      </c>
      <c r="H105" s="17">
        <f>'1st Innings'!H105</f>
        <v>0</v>
      </c>
      <c r="I105" s="17">
        <f>'1st Innings'!I105</f>
        <v>0</v>
      </c>
      <c r="J105" s="17">
        <f>'1st Innings'!J105</f>
        <v>0</v>
      </c>
      <c r="K105" s="17">
        <f>'1st Innings'!K105</f>
        <v>0</v>
      </c>
      <c r="L105" s="17">
        <f>'1st Innings'!L105</f>
        <v>0</v>
      </c>
      <c r="M105" s="17">
        <f>'1st Innings'!M105</f>
        <v>0</v>
      </c>
      <c r="N105" s="17">
        <f>'1st Innings'!N105</f>
        <v>0</v>
      </c>
      <c r="O105" s="17">
        <f>'1st Innings'!O105</f>
        <v>0</v>
      </c>
      <c r="P105" s="17">
        <f>'1st Innings'!P105</f>
        <v>0</v>
      </c>
      <c r="Q105" s="54"/>
      <c r="R105" s="57"/>
      <c r="S105" s="3"/>
      <c r="T105" s="56"/>
      <c r="U105" s="3"/>
      <c r="V105" s="56"/>
      <c r="W105" s="56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  <c r="BE105" s="57"/>
      <c r="BF105" s="57"/>
      <c r="BG105" s="57"/>
      <c r="BH105" s="57"/>
      <c r="BI105" s="57"/>
      <c r="BJ105" s="57"/>
      <c r="BK105" s="57"/>
      <c r="BL105" s="57"/>
      <c r="BM105" s="57"/>
      <c r="BN105" s="57"/>
      <c r="BO105" s="57"/>
      <c r="BP105" s="57"/>
    </row>
    <row r="106" spans="1:69" x14ac:dyDescent="0.25">
      <c r="A106" s="17">
        <f>'1st Innings'!A106</f>
        <v>0</v>
      </c>
      <c r="B106" s="17">
        <f>'1st Innings'!B106</f>
        <v>0</v>
      </c>
      <c r="C106" s="17">
        <f>'1st Innings'!C106</f>
        <v>0</v>
      </c>
      <c r="D106" s="17">
        <f>'1st Innings'!D106</f>
        <v>0</v>
      </c>
      <c r="E106" s="17">
        <f>'1st Innings'!E106</f>
        <v>0</v>
      </c>
      <c r="F106" s="17">
        <f>'1st Innings'!F106</f>
        <v>0</v>
      </c>
      <c r="G106" s="17">
        <f>'1st Innings'!G106</f>
        <v>0</v>
      </c>
      <c r="H106" s="17">
        <f>'1st Innings'!H106</f>
        <v>0</v>
      </c>
      <c r="I106" s="17">
        <f>'1st Innings'!I106</f>
        <v>0</v>
      </c>
      <c r="J106" s="17">
        <f>'1st Innings'!J106</f>
        <v>0</v>
      </c>
      <c r="K106" s="17">
        <f>'1st Innings'!K106</f>
        <v>0</v>
      </c>
      <c r="L106" s="17">
        <f>'1st Innings'!L106</f>
        <v>0</v>
      </c>
      <c r="M106" s="17">
        <f>'1st Innings'!M106</f>
        <v>0</v>
      </c>
      <c r="N106" s="17">
        <f>'1st Innings'!N106</f>
        <v>0</v>
      </c>
      <c r="O106" s="17">
        <f>'1st Innings'!O106</f>
        <v>0</v>
      </c>
      <c r="P106" s="17">
        <f>'1st Innings'!P106</f>
        <v>0</v>
      </c>
      <c r="Q106" s="54"/>
      <c r="R106" s="57"/>
      <c r="S106" s="3"/>
      <c r="T106" s="56"/>
      <c r="U106" s="3"/>
      <c r="V106" s="56"/>
      <c r="W106" s="56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  <c r="BB106" s="57"/>
      <c r="BC106" s="57"/>
      <c r="BD106" s="57"/>
      <c r="BE106" s="57"/>
      <c r="BF106" s="57"/>
      <c r="BG106" s="57"/>
      <c r="BH106" s="57"/>
      <c r="BI106" s="57"/>
      <c r="BJ106" s="57"/>
      <c r="BK106" s="57"/>
      <c r="BL106" s="57"/>
      <c r="BM106" s="57"/>
      <c r="BN106" s="57"/>
      <c r="BO106" s="57"/>
      <c r="BP106" s="57"/>
    </row>
    <row r="107" spans="1:69" x14ac:dyDescent="0.25">
      <c r="A107" s="17">
        <f>'1st Innings'!A107</f>
        <v>0</v>
      </c>
      <c r="B107" s="17">
        <f>'1st Innings'!B107</f>
        <v>0</v>
      </c>
      <c r="C107" s="17">
        <f>'1st Innings'!C107</f>
        <v>0</v>
      </c>
      <c r="D107" s="17">
        <f>'1st Innings'!D107</f>
        <v>0</v>
      </c>
      <c r="E107" s="17">
        <f>'1st Innings'!E107</f>
        <v>0</v>
      </c>
      <c r="F107" s="17">
        <f>'1st Innings'!F107</f>
        <v>0</v>
      </c>
      <c r="G107" s="17">
        <f>'1st Innings'!G107</f>
        <v>0</v>
      </c>
      <c r="H107" s="17">
        <f>'1st Innings'!H107</f>
        <v>0</v>
      </c>
      <c r="I107" s="17">
        <f>'1st Innings'!I107</f>
        <v>0</v>
      </c>
      <c r="J107" s="17">
        <f>'1st Innings'!J107</f>
        <v>0</v>
      </c>
      <c r="K107" s="17">
        <f>'1st Innings'!K107</f>
        <v>0</v>
      </c>
      <c r="L107" s="17">
        <f>'1st Innings'!L107</f>
        <v>0</v>
      </c>
      <c r="M107" s="17">
        <f>'1st Innings'!M107</f>
        <v>0</v>
      </c>
      <c r="N107" s="17">
        <f>'1st Innings'!N107</f>
        <v>0</v>
      </c>
      <c r="O107" s="17">
        <f>'1st Innings'!O107</f>
        <v>0</v>
      </c>
      <c r="P107" s="17">
        <f>'1st Innings'!P107</f>
        <v>0</v>
      </c>
      <c r="Q107" s="54"/>
      <c r="R107" s="57"/>
      <c r="S107" s="3"/>
      <c r="T107" s="56"/>
      <c r="U107" s="56"/>
      <c r="V107" s="56"/>
      <c r="W107" s="56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  <c r="BB107" s="57"/>
      <c r="BC107" s="57"/>
      <c r="BD107" s="57"/>
      <c r="BE107" s="57"/>
      <c r="BF107" s="57"/>
      <c r="BG107" s="57"/>
      <c r="BH107" s="57"/>
      <c r="BI107" s="57"/>
      <c r="BJ107" s="57"/>
      <c r="BK107" s="57"/>
      <c r="BL107" s="57"/>
      <c r="BM107" s="57"/>
      <c r="BN107" s="57"/>
      <c r="BO107" s="57"/>
      <c r="BP107" s="57"/>
      <c r="BQ107" s="57"/>
    </row>
    <row r="108" spans="1:69" x14ac:dyDescent="0.25">
      <c r="A108" s="17">
        <f>'1st Innings'!A108</f>
        <v>0</v>
      </c>
      <c r="B108" s="17">
        <f>'1st Innings'!B108</f>
        <v>0</v>
      </c>
      <c r="C108" s="17">
        <f>'1st Innings'!C108</f>
        <v>0</v>
      </c>
      <c r="D108" s="17">
        <f>'1st Innings'!D108</f>
        <v>0</v>
      </c>
      <c r="E108" s="17">
        <f>'1st Innings'!E108</f>
        <v>0</v>
      </c>
      <c r="F108" s="17">
        <f>'1st Innings'!F108</f>
        <v>0</v>
      </c>
      <c r="G108" s="17">
        <f>'1st Innings'!G108</f>
        <v>0</v>
      </c>
      <c r="H108" s="17">
        <f>'1st Innings'!H108</f>
        <v>0</v>
      </c>
      <c r="I108" s="17">
        <f>'1st Innings'!I108</f>
        <v>0</v>
      </c>
      <c r="J108" s="17">
        <f>'1st Innings'!J108</f>
        <v>0</v>
      </c>
      <c r="K108" s="17">
        <f>'1st Innings'!K108</f>
        <v>0</v>
      </c>
      <c r="L108" s="17">
        <f>'1st Innings'!L108</f>
        <v>0</v>
      </c>
      <c r="M108" s="17">
        <f>'1st Innings'!M108</f>
        <v>0</v>
      </c>
      <c r="N108" s="17">
        <f>'1st Innings'!N108</f>
        <v>0</v>
      </c>
      <c r="O108" s="17">
        <f>'1st Innings'!O108</f>
        <v>0</v>
      </c>
      <c r="P108" s="17">
        <f>'1st Innings'!P108</f>
        <v>0</v>
      </c>
      <c r="Q108" s="57"/>
      <c r="R108" s="57"/>
      <c r="W108" s="56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  <c r="BA108" s="57"/>
      <c r="BB108" s="57"/>
      <c r="BC108" s="57"/>
      <c r="BD108" s="57"/>
      <c r="BE108" s="57"/>
      <c r="BF108" s="57"/>
      <c r="BG108" s="57"/>
      <c r="BH108" s="57"/>
      <c r="BI108" s="57"/>
      <c r="BJ108" s="57"/>
      <c r="BK108" s="57"/>
      <c r="BL108" s="57"/>
      <c r="BM108" s="57"/>
      <c r="BN108" s="57"/>
      <c r="BO108" s="57"/>
      <c r="BP108" s="57"/>
      <c r="BQ108" s="57"/>
    </row>
    <row r="109" spans="1:69" x14ac:dyDescent="0.25">
      <c r="A109" s="17">
        <f>'1st Innings'!A109</f>
        <v>0</v>
      </c>
      <c r="B109" s="17">
        <f>'1st Innings'!B109</f>
        <v>0</v>
      </c>
      <c r="C109" s="17">
        <f>'1st Innings'!C109</f>
        <v>0</v>
      </c>
      <c r="D109" s="17">
        <f>'1st Innings'!D109</f>
        <v>0</v>
      </c>
      <c r="E109" s="17">
        <f>'1st Innings'!E109</f>
        <v>0</v>
      </c>
      <c r="F109" s="17">
        <f>'1st Innings'!F109</f>
        <v>0</v>
      </c>
      <c r="G109" s="17">
        <f>'1st Innings'!G109</f>
        <v>0</v>
      </c>
      <c r="H109" s="17">
        <f>'1st Innings'!H109</f>
        <v>0</v>
      </c>
      <c r="I109" s="17">
        <f>'1st Innings'!I109</f>
        <v>0</v>
      </c>
      <c r="J109" s="17">
        <f>'1st Innings'!J109</f>
        <v>0</v>
      </c>
      <c r="K109" s="17">
        <f>'1st Innings'!K109</f>
        <v>0</v>
      </c>
      <c r="L109" s="17">
        <f>'1st Innings'!L109</f>
        <v>0</v>
      </c>
      <c r="M109" s="17">
        <f>'1st Innings'!M109</f>
        <v>0</v>
      </c>
      <c r="N109" s="17">
        <f>'1st Innings'!N109</f>
        <v>0</v>
      </c>
      <c r="O109" s="17">
        <f>'1st Innings'!O109</f>
        <v>0</v>
      </c>
      <c r="P109" s="17">
        <f>'1st Innings'!P109</f>
        <v>0</v>
      </c>
      <c r="Q109" s="57"/>
      <c r="R109" s="57"/>
      <c r="S109" s="57"/>
      <c r="T109" s="57"/>
      <c r="U109" s="57"/>
      <c r="V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  <c r="BC109" s="57"/>
      <c r="BD109" s="57"/>
      <c r="BE109" s="57"/>
      <c r="BF109" s="57"/>
      <c r="BG109" s="57"/>
      <c r="BH109" s="57"/>
      <c r="BI109" s="57"/>
      <c r="BJ109" s="57"/>
      <c r="BK109" s="57"/>
      <c r="BL109" s="57"/>
      <c r="BM109" s="57"/>
      <c r="BN109" s="57"/>
      <c r="BO109" s="57"/>
      <c r="BP109" s="57"/>
      <c r="BQ109" s="57"/>
    </row>
    <row r="110" spans="1:69" x14ac:dyDescent="0.25">
      <c r="A110" s="17">
        <f>'1st Innings'!A110</f>
        <v>0</v>
      </c>
      <c r="B110" s="17">
        <f>'1st Innings'!B110</f>
        <v>0</v>
      </c>
      <c r="C110" s="17">
        <f>'1st Innings'!C110</f>
        <v>0</v>
      </c>
      <c r="D110" s="17">
        <f>'1st Innings'!D110</f>
        <v>0</v>
      </c>
      <c r="E110" s="17">
        <f>'1st Innings'!E110</f>
        <v>0</v>
      </c>
      <c r="F110" s="17">
        <f>'1st Innings'!F110</f>
        <v>0</v>
      </c>
      <c r="G110" s="17">
        <f>'1st Innings'!G110</f>
        <v>0</v>
      </c>
      <c r="H110" s="17">
        <f>'1st Innings'!H110</f>
        <v>0</v>
      </c>
      <c r="I110" s="17">
        <f>'1st Innings'!I110</f>
        <v>0</v>
      </c>
      <c r="J110" s="17">
        <f>'1st Innings'!J110</f>
        <v>0</v>
      </c>
      <c r="K110" s="17">
        <f>'1st Innings'!K110</f>
        <v>0</v>
      </c>
      <c r="L110" s="17">
        <f>'1st Innings'!L110</f>
        <v>0</v>
      </c>
      <c r="M110" s="17">
        <f>'1st Innings'!M110</f>
        <v>0</v>
      </c>
      <c r="N110" s="17">
        <f>'1st Innings'!N110</f>
        <v>0</v>
      </c>
      <c r="O110" s="17">
        <f>'1st Innings'!O110</f>
        <v>0</v>
      </c>
      <c r="P110" s="17">
        <f>'1st Innings'!P110</f>
        <v>0</v>
      </c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B110" s="57"/>
      <c r="BC110" s="57"/>
      <c r="BD110" s="57"/>
      <c r="BE110" s="57"/>
      <c r="BF110" s="57"/>
      <c r="BG110" s="57"/>
      <c r="BH110" s="57"/>
      <c r="BI110" s="57"/>
      <c r="BJ110" s="57"/>
      <c r="BK110" s="57"/>
      <c r="BL110" s="57"/>
      <c r="BM110" s="57"/>
      <c r="BN110" s="57"/>
      <c r="BO110" s="57"/>
      <c r="BP110" s="57"/>
      <c r="BQ110" s="57"/>
    </row>
    <row r="111" spans="1:69" x14ac:dyDescent="0.25">
      <c r="A111" s="17">
        <f>'1st Innings'!A111</f>
        <v>0</v>
      </c>
      <c r="B111" s="17">
        <f>'1st Innings'!B111</f>
        <v>0</v>
      </c>
      <c r="C111" s="17">
        <f>'1st Innings'!C111</f>
        <v>0</v>
      </c>
      <c r="D111" s="17">
        <f>'1st Innings'!D111</f>
        <v>0</v>
      </c>
      <c r="E111" s="17">
        <f>'1st Innings'!E111</f>
        <v>0</v>
      </c>
      <c r="F111" s="17">
        <f>'1st Innings'!F111</f>
        <v>0</v>
      </c>
      <c r="G111" s="17">
        <f>'1st Innings'!G111</f>
        <v>0</v>
      </c>
      <c r="H111" s="17">
        <f>'1st Innings'!H111</f>
        <v>0</v>
      </c>
      <c r="I111" s="17">
        <f>'1st Innings'!I111</f>
        <v>0</v>
      </c>
      <c r="J111" s="17">
        <f>'1st Innings'!J111</f>
        <v>0</v>
      </c>
      <c r="K111" s="17">
        <f>'1st Innings'!K111</f>
        <v>0</v>
      </c>
      <c r="L111" s="17">
        <f>'1st Innings'!L111</f>
        <v>0</v>
      </c>
      <c r="M111" s="17">
        <f>'1st Innings'!M111</f>
        <v>0</v>
      </c>
      <c r="N111" s="17">
        <f>'1st Innings'!N111</f>
        <v>0</v>
      </c>
      <c r="O111" s="17">
        <f>'1st Innings'!O111</f>
        <v>0</v>
      </c>
      <c r="P111" s="17">
        <f>'1st Innings'!P111</f>
        <v>0</v>
      </c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  <c r="BB111" s="57"/>
      <c r="BC111" s="57"/>
      <c r="BD111" s="57"/>
      <c r="BE111" s="57"/>
      <c r="BF111" s="57"/>
      <c r="BG111" s="57"/>
      <c r="BH111" s="57"/>
      <c r="BI111" s="57"/>
      <c r="BJ111" s="57"/>
      <c r="BK111" s="57"/>
      <c r="BL111" s="57"/>
      <c r="BM111" s="57"/>
      <c r="BN111" s="57"/>
      <c r="BO111" s="57"/>
      <c r="BP111" s="57"/>
      <c r="BQ111" s="57"/>
    </row>
    <row r="112" spans="1:69" x14ac:dyDescent="0.25">
      <c r="A112" s="17">
        <f>'1st Innings'!A112</f>
        <v>0</v>
      </c>
      <c r="B112" s="17">
        <f>'1st Innings'!B112</f>
        <v>0</v>
      </c>
      <c r="C112" s="17">
        <f>'1st Innings'!C112</f>
        <v>0</v>
      </c>
      <c r="D112" s="17">
        <f>'1st Innings'!D112</f>
        <v>0</v>
      </c>
      <c r="E112" s="17">
        <f>'1st Innings'!E112</f>
        <v>0</v>
      </c>
      <c r="F112" s="17">
        <f>'1st Innings'!F112</f>
        <v>0</v>
      </c>
      <c r="G112" s="17">
        <f>'1st Innings'!G112</f>
        <v>0</v>
      </c>
      <c r="H112" s="17">
        <f>'1st Innings'!H112</f>
        <v>0</v>
      </c>
      <c r="I112" s="17">
        <f>'1st Innings'!I112</f>
        <v>0</v>
      </c>
      <c r="J112" s="17">
        <f>'1st Innings'!J112</f>
        <v>0</v>
      </c>
      <c r="K112" s="17">
        <f>'1st Innings'!K112</f>
        <v>0</v>
      </c>
      <c r="L112" s="17">
        <f>'1st Innings'!L112</f>
        <v>0</v>
      </c>
      <c r="M112" s="17">
        <f>'1st Innings'!M112</f>
        <v>0</v>
      </c>
      <c r="N112" s="17">
        <f>'1st Innings'!N112</f>
        <v>0</v>
      </c>
      <c r="O112" s="17">
        <f>'1st Innings'!O112</f>
        <v>0</v>
      </c>
      <c r="P112" s="17">
        <f>'1st Innings'!P112</f>
        <v>0</v>
      </c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  <c r="AR112" s="57"/>
      <c r="AS112" s="57"/>
      <c r="AT112" s="57"/>
      <c r="AU112" s="57"/>
      <c r="AV112" s="57"/>
      <c r="AW112" s="57"/>
      <c r="AX112" s="57"/>
      <c r="AY112" s="57"/>
      <c r="AZ112" s="57"/>
      <c r="BA112" s="57"/>
      <c r="BB112" s="57"/>
      <c r="BC112" s="57"/>
      <c r="BD112" s="57"/>
      <c r="BE112" s="57"/>
      <c r="BF112" s="57"/>
      <c r="BG112" s="57"/>
      <c r="BH112" s="57"/>
      <c r="BI112" s="57"/>
      <c r="BJ112" s="57"/>
      <c r="BK112" s="57"/>
      <c r="BL112" s="57"/>
      <c r="BM112" s="57"/>
      <c r="BN112" s="57"/>
      <c r="BO112" s="57"/>
      <c r="BP112" s="57"/>
      <c r="BQ112" s="57"/>
    </row>
    <row r="113" spans="1:70" x14ac:dyDescent="0.25">
      <c r="A113" s="17">
        <f>'1st Innings'!A113</f>
        <v>0</v>
      </c>
      <c r="B113" s="17">
        <f>'1st Innings'!B113</f>
        <v>0</v>
      </c>
      <c r="C113" s="17">
        <f>'1st Innings'!C113</f>
        <v>0</v>
      </c>
      <c r="D113" s="17">
        <f>'1st Innings'!D113</f>
        <v>0</v>
      </c>
      <c r="E113" s="17">
        <f>'1st Innings'!E113</f>
        <v>0</v>
      </c>
      <c r="F113" s="17">
        <f>'1st Innings'!F113</f>
        <v>0</v>
      </c>
      <c r="G113" s="17">
        <f>'1st Innings'!G113</f>
        <v>0</v>
      </c>
      <c r="H113" s="17">
        <f>'1st Innings'!H113</f>
        <v>0</v>
      </c>
      <c r="I113" s="17">
        <f>'1st Innings'!I113</f>
        <v>0</v>
      </c>
      <c r="J113" s="17">
        <f>'1st Innings'!J113</f>
        <v>0</v>
      </c>
      <c r="K113" s="17">
        <f>'1st Innings'!K113</f>
        <v>0</v>
      </c>
      <c r="L113" s="17">
        <f>'1st Innings'!L113</f>
        <v>0</v>
      </c>
      <c r="M113" s="17">
        <f>'1st Innings'!M113</f>
        <v>0</v>
      </c>
      <c r="N113" s="17">
        <f>'1st Innings'!N113</f>
        <v>0</v>
      </c>
      <c r="O113" s="17">
        <f>'1st Innings'!O113</f>
        <v>0</v>
      </c>
      <c r="P113" s="17">
        <f>'1st Innings'!P113</f>
        <v>0</v>
      </c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  <c r="BB113" s="57"/>
      <c r="BC113" s="57"/>
      <c r="BD113" s="57"/>
      <c r="BE113" s="57"/>
      <c r="BF113" s="57"/>
      <c r="BG113" s="57"/>
      <c r="BH113" s="57"/>
      <c r="BI113" s="57"/>
      <c r="BJ113" s="57"/>
      <c r="BK113" s="57"/>
      <c r="BL113" s="57"/>
      <c r="BM113" s="57"/>
      <c r="BN113" s="57"/>
      <c r="BO113" s="57"/>
      <c r="BP113" s="57"/>
      <c r="BQ113" s="57"/>
      <c r="BR113" s="57"/>
    </row>
    <row r="114" spans="1:70" x14ac:dyDescent="0.25">
      <c r="A114" s="17">
        <f>'1st Innings'!A114</f>
        <v>0</v>
      </c>
      <c r="B114" s="17">
        <f>'1st Innings'!B114</f>
        <v>0</v>
      </c>
      <c r="C114" s="17">
        <f>'1st Innings'!C114</f>
        <v>0</v>
      </c>
      <c r="D114" s="17">
        <f>'1st Innings'!D114</f>
        <v>0</v>
      </c>
      <c r="E114" s="17">
        <f>'1st Innings'!E114</f>
        <v>0</v>
      </c>
      <c r="F114" s="17">
        <f>'1st Innings'!F114</f>
        <v>0</v>
      </c>
      <c r="G114" s="17">
        <f>'1st Innings'!G114</f>
        <v>0</v>
      </c>
      <c r="H114" s="17">
        <f>'1st Innings'!H114</f>
        <v>0</v>
      </c>
      <c r="I114" s="17">
        <f>'1st Innings'!I114</f>
        <v>0</v>
      </c>
      <c r="J114" s="17">
        <f>'1st Innings'!J114</f>
        <v>0</v>
      </c>
      <c r="K114" s="17">
        <f>'1st Innings'!K114</f>
        <v>0</v>
      </c>
      <c r="L114" s="17">
        <f>'1st Innings'!L114</f>
        <v>0</v>
      </c>
      <c r="M114" s="17">
        <f>'1st Innings'!M114</f>
        <v>0</v>
      </c>
      <c r="N114" s="17">
        <f>'1st Innings'!N114</f>
        <v>0</v>
      </c>
      <c r="O114" s="17">
        <f>'1st Innings'!O114</f>
        <v>0</v>
      </c>
      <c r="P114" s="17">
        <f>'1st Innings'!P114</f>
        <v>0</v>
      </c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  <c r="AR114" s="57"/>
      <c r="AS114" s="57"/>
      <c r="AT114" s="57"/>
      <c r="AU114" s="57"/>
      <c r="AV114" s="57"/>
      <c r="AW114" s="57"/>
      <c r="AX114" s="57"/>
      <c r="AY114" s="57"/>
      <c r="AZ114" s="57"/>
      <c r="BA114" s="57"/>
      <c r="BB114" s="57"/>
      <c r="BC114" s="57"/>
      <c r="BD114" s="57"/>
      <c r="BE114" s="57"/>
      <c r="BF114" s="57"/>
      <c r="BG114" s="57"/>
      <c r="BH114" s="57"/>
      <c r="BI114" s="57"/>
      <c r="BJ114" s="57"/>
      <c r="BK114" s="57"/>
      <c r="BL114" s="57"/>
      <c r="BM114" s="57"/>
      <c r="BN114" s="57"/>
      <c r="BO114" s="57"/>
      <c r="BP114" s="57"/>
      <c r="BQ114" s="57"/>
      <c r="BR114" s="57"/>
    </row>
    <row r="115" spans="1:70" x14ac:dyDescent="0.25">
      <c r="A115" s="17">
        <f>'1st Innings'!A115</f>
        <v>0</v>
      </c>
      <c r="B115" s="17">
        <f>'1st Innings'!B115</f>
        <v>0</v>
      </c>
      <c r="C115" s="17">
        <f>'1st Innings'!C115</f>
        <v>0</v>
      </c>
      <c r="D115" s="17">
        <f>'1st Innings'!D115</f>
        <v>0</v>
      </c>
      <c r="E115" s="17">
        <f>'1st Innings'!E115</f>
        <v>0</v>
      </c>
      <c r="F115" s="17">
        <f>'1st Innings'!F115</f>
        <v>0</v>
      </c>
      <c r="G115" s="17">
        <f>'1st Innings'!G115</f>
        <v>0</v>
      </c>
      <c r="H115" s="17">
        <f>'1st Innings'!H115</f>
        <v>0</v>
      </c>
      <c r="I115" s="17">
        <f>'1st Innings'!I115</f>
        <v>0</v>
      </c>
      <c r="J115" s="17">
        <f>'1st Innings'!J115</f>
        <v>0</v>
      </c>
      <c r="K115" s="17">
        <f>'1st Innings'!K115</f>
        <v>0</v>
      </c>
      <c r="L115" s="17">
        <f>'1st Innings'!L115</f>
        <v>0</v>
      </c>
      <c r="M115" s="17">
        <f>'1st Innings'!M115</f>
        <v>0</v>
      </c>
      <c r="N115" s="17">
        <f>'1st Innings'!N115</f>
        <v>0</v>
      </c>
      <c r="O115" s="17">
        <f>'1st Innings'!O115</f>
        <v>0</v>
      </c>
      <c r="P115" s="17">
        <f>'1st Innings'!P115</f>
        <v>0</v>
      </c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  <c r="AR115" s="57"/>
      <c r="AS115" s="57"/>
      <c r="AT115" s="57"/>
      <c r="AU115" s="57"/>
      <c r="AV115" s="57"/>
      <c r="AW115" s="57"/>
      <c r="AX115" s="57"/>
      <c r="AY115" s="57"/>
      <c r="AZ115" s="57"/>
      <c r="BA115" s="57"/>
      <c r="BB115" s="57"/>
      <c r="BC115" s="57"/>
      <c r="BD115" s="57"/>
      <c r="BE115" s="57"/>
      <c r="BF115" s="57"/>
      <c r="BG115" s="57"/>
      <c r="BH115" s="57"/>
      <c r="BI115" s="57"/>
      <c r="BJ115" s="57"/>
      <c r="BK115" s="57"/>
      <c r="BL115" s="57"/>
      <c r="BM115" s="57"/>
      <c r="BN115" s="57"/>
      <c r="BO115" s="57"/>
      <c r="BP115" s="57"/>
      <c r="BQ115" s="57"/>
      <c r="BR115" s="57"/>
    </row>
    <row r="116" spans="1:70" x14ac:dyDescent="0.25">
      <c r="A116" s="17">
        <f>'1st Innings'!A116</f>
        <v>0</v>
      </c>
      <c r="B116" s="17">
        <f>'1st Innings'!B116</f>
        <v>0</v>
      </c>
      <c r="C116" s="17">
        <f>'1st Innings'!C116</f>
        <v>0</v>
      </c>
      <c r="D116" s="17">
        <f>'1st Innings'!D116</f>
        <v>0</v>
      </c>
      <c r="E116" s="17">
        <f>'1st Innings'!E116</f>
        <v>0</v>
      </c>
      <c r="F116" s="17">
        <f>'1st Innings'!F116</f>
        <v>0</v>
      </c>
      <c r="G116" s="17">
        <f>'1st Innings'!G116</f>
        <v>0</v>
      </c>
      <c r="H116" s="17">
        <f>'1st Innings'!H116</f>
        <v>0</v>
      </c>
      <c r="I116" s="17">
        <f>'1st Innings'!I116</f>
        <v>0</v>
      </c>
      <c r="J116" s="17">
        <f>'1st Innings'!J116</f>
        <v>0</v>
      </c>
      <c r="K116" s="17">
        <f>'1st Innings'!K116</f>
        <v>0</v>
      </c>
      <c r="L116" s="17">
        <f>'1st Innings'!L116</f>
        <v>0</v>
      </c>
      <c r="M116" s="17">
        <f>'1st Innings'!M116</f>
        <v>0</v>
      </c>
      <c r="N116" s="17">
        <f>'1st Innings'!N116</f>
        <v>0</v>
      </c>
      <c r="O116" s="17">
        <f>'1st Innings'!O116</f>
        <v>0</v>
      </c>
      <c r="P116" s="17">
        <f>'1st Innings'!P116</f>
        <v>0</v>
      </c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  <c r="AR116" s="57"/>
      <c r="AS116" s="57"/>
      <c r="AT116" s="57"/>
      <c r="AU116" s="57"/>
      <c r="AV116" s="57"/>
      <c r="AW116" s="57"/>
      <c r="AX116" s="57"/>
      <c r="AY116" s="57"/>
      <c r="AZ116" s="57"/>
      <c r="BA116" s="57"/>
      <c r="BB116" s="57"/>
      <c r="BC116" s="57"/>
      <c r="BD116" s="57"/>
      <c r="BE116" s="57"/>
      <c r="BF116" s="57"/>
      <c r="BG116" s="57"/>
      <c r="BH116" s="57"/>
      <c r="BI116" s="57"/>
      <c r="BJ116" s="57"/>
      <c r="BK116" s="57"/>
      <c r="BL116" s="57"/>
      <c r="BM116" s="57"/>
      <c r="BN116" s="57"/>
      <c r="BO116" s="57"/>
      <c r="BP116" s="57"/>
      <c r="BQ116" s="57"/>
      <c r="BR116" s="57"/>
    </row>
    <row r="117" spans="1:70" x14ac:dyDescent="0.25">
      <c r="A117" s="17">
        <f>'1st Innings'!A117</f>
        <v>0</v>
      </c>
      <c r="B117" s="17">
        <f>'1st Innings'!B117</f>
        <v>0</v>
      </c>
      <c r="C117" s="17">
        <f>'1st Innings'!C117</f>
        <v>0</v>
      </c>
      <c r="D117" s="17">
        <f>'1st Innings'!D117</f>
        <v>0</v>
      </c>
      <c r="E117" s="17">
        <f>'1st Innings'!E117</f>
        <v>0</v>
      </c>
      <c r="F117" s="17">
        <f>'1st Innings'!F117</f>
        <v>0</v>
      </c>
      <c r="G117" s="17">
        <f>'1st Innings'!G117</f>
        <v>0</v>
      </c>
      <c r="H117" s="17">
        <f>'1st Innings'!H117</f>
        <v>0</v>
      </c>
      <c r="I117" s="17">
        <f>'1st Innings'!I117</f>
        <v>0</v>
      </c>
      <c r="J117" s="17">
        <f>'1st Innings'!J117</f>
        <v>0</v>
      </c>
      <c r="K117" s="17">
        <f>'1st Innings'!K117</f>
        <v>0</v>
      </c>
      <c r="L117" s="17">
        <f>'1st Innings'!L117</f>
        <v>0</v>
      </c>
      <c r="M117" s="17">
        <f>'1st Innings'!M117</f>
        <v>0</v>
      </c>
      <c r="N117" s="17">
        <f>'1st Innings'!N117</f>
        <v>0</v>
      </c>
      <c r="O117" s="17">
        <f>'1st Innings'!O117</f>
        <v>0</v>
      </c>
      <c r="P117" s="17">
        <f>'1st Innings'!P117</f>
        <v>0</v>
      </c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  <c r="AR117" s="57"/>
      <c r="AS117" s="57"/>
      <c r="AT117" s="57"/>
      <c r="AU117" s="57"/>
      <c r="AV117" s="57"/>
      <c r="AW117" s="57"/>
      <c r="AX117" s="57"/>
      <c r="AY117" s="57"/>
      <c r="AZ117" s="57"/>
      <c r="BA117" s="57"/>
      <c r="BB117" s="57"/>
      <c r="BC117" s="57"/>
      <c r="BD117" s="57"/>
      <c r="BE117" s="57"/>
      <c r="BF117" s="57"/>
      <c r="BG117" s="57"/>
      <c r="BH117" s="57"/>
      <c r="BI117" s="57"/>
      <c r="BJ117" s="57"/>
      <c r="BK117" s="57"/>
      <c r="BL117" s="57"/>
      <c r="BM117" s="57"/>
      <c r="BN117" s="57"/>
      <c r="BO117" s="57"/>
      <c r="BP117" s="57"/>
      <c r="BQ117" s="57"/>
      <c r="BR117" s="57"/>
    </row>
    <row r="118" spans="1:70" x14ac:dyDescent="0.25">
      <c r="A118" s="17">
        <f>'1st Innings'!A118</f>
        <v>0</v>
      </c>
      <c r="B118" s="17">
        <f>'1st Innings'!B118</f>
        <v>0</v>
      </c>
      <c r="C118" s="17">
        <f>'1st Innings'!C118</f>
        <v>0</v>
      </c>
      <c r="D118" s="17">
        <f>'1st Innings'!D118</f>
        <v>0</v>
      </c>
      <c r="E118" s="17">
        <f>'1st Innings'!E118</f>
        <v>0</v>
      </c>
      <c r="F118" s="17">
        <f>'1st Innings'!F118</f>
        <v>0</v>
      </c>
      <c r="G118" s="17">
        <f>'1st Innings'!G118</f>
        <v>0</v>
      </c>
      <c r="H118" s="17">
        <f>'1st Innings'!H118</f>
        <v>0</v>
      </c>
      <c r="I118" s="17">
        <f>'1st Innings'!I118</f>
        <v>0</v>
      </c>
      <c r="J118" s="17">
        <f>'1st Innings'!J118</f>
        <v>0</v>
      </c>
      <c r="K118" s="17">
        <f>'1st Innings'!K118</f>
        <v>0</v>
      </c>
      <c r="L118" s="17">
        <f>'1st Innings'!L118</f>
        <v>0</v>
      </c>
      <c r="M118" s="17">
        <f>'1st Innings'!M118</f>
        <v>0</v>
      </c>
      <c r="N118" s="17">
        <f>'1st Innings'!N118</f>
        <v>0</v>
      </c>
      <c r="O118" s="17">
        <f>'1st Innings'!O118</f>
        <v>0</v>
      </c>
      <c r="P118" s="17">
        <f>'1st Innings'!P118</f>
        <v>0</v>
      </c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  <c r="AR118" s="57"/>
      <c r="AS118" s="57"/>
      <c r="AT118" s="57"/>
      <c r="AU118" s="57"/>
      <c r="AV118" s="57"/>
      <c r="AW118" s="57"/>
      <c r="AX118" s="57"/>
      <c r="AY118" s="57"/>
      <c r="AZ118" s="57"/>
      <c r="BA118" s="57"/>
      <c r="BB118" s="57"/>
      <c r="BC118" s="57"/>
      <c r="BD118" s="57"/>
      <c r="BE118" s="57"/>
      <c r="BF118" s="57"/>
      <c r="BG118" s="57"/>
      <c r="BH118" s="57"/>
      <c r="BI118" s="57"/>
      <c r="BJ118" s="57"/>
      <c r="BK118" s="57"/>
      <c r="BL118" s="57"/>
      <c r="BM118" s="57"/>
      <c r="BN118" s="57"/>
      <c r="BO118" s="57"/>
      <c r="BP118" s="57"/>
      <c r="BQ118" s="57"/>
      <c r="BR118" s="57"/>
    </row>
    <row r="119" spans="1:70" x14ac:dyDescent="0.25">
      <c r="A119" s="17">
        <f>'1st Innings'!A119</f>
        <v>0</v>
      </c>
      <c r="B119" s="17">
        <f>'1st Innings'!B119</f>
        <v>0</v>
      </c>
      <c r="C119" s="17">
        <f>'1st Innings'!C119</f>
        <v>0</v>
      </c>
      <c r="D119" s="17">
        <f>'1st Innings'!D119</f>
        <v>0</v>
      </c>
      <c r="E119" s="17">
        <f>'1st Innings'!E119</f>
        <v>0</v>
      </c>
      <c r="F119" s="17">
        <f>'1st Innings'!F119</f>
        <v>0</v>
      </c>
      <c r="G119" s="17">
        <f>'1st Innings'!G119</f>
        <v>0</v>
      </c>
      <c r="H119" s="17">
        <f>'1st Innings'!H119</f>
        <v>0</v>
      </c>
      <c r="I119" s="17">
        <f>'1st Innings'!I119</f>
        <v>0</v>
      </c>
      <c r="J119" s="17">
        <f>'1st Innings'!J119</f>
        <v>0</v>
      </c>
      <c r="K119" s="17">
        <f>'1st Innings'!K119</f>
        <v>0</v>
      </c>
      <c r="L119" s="17">
        <f>'1st Innings'!L119</f>
        <v>0</v>
      </c>
      <c r="M119" s="17">
        <f>'1st Innings'!M119</f>
        <v>0</v>
      </c>
      <c r="N119" s="17">
        <f>'1st Innings'!N119</f>
        <v>0</v>
      </c>
      <c r="O119" s="17">
        <f>'1st Innings'!O119</f>
        <v>0</v>
      </c>
      <c r="P119" s="17">
        <f>'1st Innings'!P119</f>
        <v>0</v>
      </c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  <c r="AR119" s="57"/>
      <c r="AS119" s="57"/>
      <c r="AT119" s="57"/>
      <c r="AU119" s="57"/>
      <c r="AV119" s="57"/>
      <c r="AW119" s="57"/>
      <c r="AX119" s="57"/>
      <c r="AY119" s="57"/>
      <c r="AZ119" s="57"/>
      <c r="BA119" s="57"/>
      <c r="BB119" s="57"/>
      <c r="BC119" s="57"/>
      <c r="BD119" s="57"/>
      <c r="BE119" s="57"/>
      <c r="BF119" s="57"/>
      <c r="BG119" s="57"/>
      <c r="BH119" s="57"/>
      <c r="BI119" s="57"/>
      <c r="BJ119" s="57"/>
      <c r="BK119" s="57"/>
      <c r="BL119" s="57"/>
      <c r="BM119" s="57"/>
      <c r="BN119" s="57"/>
      <c r="BO119" s="57"/>
      <c r="BP119" s="57"/>
      <c r="BQ119" s="57"/>
      <c r="BR119" s="57"/>
    </row>
    <row r="120" spans="1:70" x14ac:dyDescent="0.25">
      <c r="A120" s="160"/>
      <c r="B120" s="160"/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  <c r="AR120" s="57"/>
      <c r="AS120" s="57"/>
      <c r="AT120" s="57"/>
      <c r="AU120" s="57"/>
      <c r="AV120" s="57"/>
      <c r="AW120" s="57"/>
      <c r="AX120" s="57"/>
      <c r="AY120" s="57"/>
      <c r="AZ120" s="57"/>
      <c r="BA120" s="57"/>
      <c r="BB120" s="57"/>
      <c r="BC120" s="57"/>
      <c r="BD120" s="57"/>
      <c r="BE120" s="57"/>
      <c r="BF120" s="57"/>
      <c r="BG120" s="57"/>
      <c r="BH120" s="57"/>
      <c r="BI120" s="57"/>
      <c r="BJ120" s="57"/>
      <c r="BK120" s="57"/>
      <c r="BL120" s="57"/>
      <c r="BM120" s="57"/>
      <c r="BN120" s="57"/>
      <c r="BO120" s="57"/>
      <c r="BP120" s="57"/>
      <c r="BQ120" s="57"/>
      <c r="BR120" s="57"/>
    </row>
    <row r="121" spans="1:70" x14ac:dyDescent="0.25">
      <c r="A121" s="160"/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  <c r="BB121" s="57"/>
      <c r="BC121" s="57"/>
      <c r="BD121" s="57"/>
      <c r="BE121" s="57"/>
      <c r="BF121" s="57"/>
      <c r="BG121" s="57"/>
      <c r="BH121" s="57"/>
      <c r="BI121" s="57"/>
      <c r="BJ121" s="57"/>
      <c r="BK121" s="57"/>
      <c r="BL121" s="57"/>
      <c r="BM121" s="57"/>
      <c r="BN121" s="57"/>
      <c r="BO121" s="57"/>
      <c r="BP121" s="57"/>
      <c r="BQ121" s="57"/>
      <c r="BR121" s="57"/>
    </row>
    <row r="122" spans="1:70" x14ac:dyDescent="0.25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  <c r="AR122" s="57"/>
      <c r="AS122" s="57"/>
      <c r="AT122" s="57"/>
      <c r="AU122" s="57"/>
      <c r="AV122" s="57"/>
      <c r="AW122" s="57"/>
      <c r="AX122" s="57"/>
      <c r="AY122" s="57"/>
      <c r="AZ122" s="57"/>
      <c r="BA122" s="57"/>
      <c r="BB122" s="57"/>
      <c r="BC122" s="57"/>
      <c r="BD122" s="57"/>
      <c r="BE122" s="57"/>
      <c r="BF122" s="57"/>
      <c r="BG122" s="57"/>
      <c r="BH122" s="57"/>
      <c r="BI122" s="57"/>
      <c r="BJ122" s="57"/>
      <c r="BK122" s="57"/>
      <c r="BL122" s="57"/>
      <c r="BM122" s="57"/>
      <c r="BN122" s="57"/>
      <c r="BO122" s="57"/>
      <c r="BP122" s="57"/>
      <c r="BQ122" s="57"/>
      <c r="BR122" s="57"/>
    </row>
    <row r="123" spans="1:70" x14ac:dyDescent="0.25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  <c r="BB123" s="57"/>
      <c r="BC123" s="57"/>
      <c r="BD123" s="57"/>
      <c r="BE123" s="57"/>
      <c r="BF123" s="57"/>
      <c r="BG123" s="57"/>
      <c r="BH123" s="57"/>
      <c r="BI123" s="57"/>
      <c r="BJ123" s="57"/>
      <c r="BK123" s="57"/>
      <c r="BL123" s="57"/>
      <c r="BM123" s="57"/>
      <c r="BN123" s="57"/>
      <c r="BO123" s="57"/>
      <c r="BP123" s="57"/>
      <c r="BQ123" s="57"/>
      <c r="BR123" s="57"/>
    </row>
    <row r="124" spans="1:70" x14ac:dyDescent="0.25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  <c r="AR124" s="57"/>
      <c r="AS124" s="57"/>
      <c r="AT124" s="57"/>
      <c r="AU124" s="57"/>
      <c r="AV124" s="57"/>
      <c r="AW124" s="57"/>
      <c r="AX124" s="57"/>
      <c r="AY124" s="57"/>
      <c r="AZ124" s="57"/>
      <c r="BA124" s="57"/>
      <c r="BB124" s="57"/>
      <c r="BC124" s="57"/>
      <c r="BD124" s="57"/>
      <c r="BE124" s="57"/>
      <c r="BF124" s="57"/>
      <c r="BG124" s="57"/>
      <c r="BH124" s="57"/>
      <c r="BI124" s="57"/>
      <c r="BJ124" s="57"/>
      <c r="BK124" s="57"/>
      <c r="BL124" s="57"/>
      <c r="BM124" s="57"/>
      <c r="BN124" s="57"/>
      <c r="BO124" s="57"/>
      <c r="BP124" s="57"/>
      <c r="BQ124" s="57"/>
      <c r="BR124" s="57"/>
    </row>
    <row r="125" spans="1:70" x14ac:dyDescent="0.25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  <c r="AR125" s="57"/>
      <c r="AS125" s="57"/>
      <c r="AT125" s="57"/>
      <c r="AU125" s="57"/>
      <c r="AV125" s="57"/>
      <c r="AW125" s="57"/>
      <c r="AX125" s="57"/>
      <c r="AY125" s="57"/>
      <c r="AZ125" s="57"/>
      <c r="BA125" s="57"/>
      <c r="BB125" s="57"/>
      <c r="BC125" s="57"/>
      <c r="BD125" s="57"/>
      <c r="BE125" s="57"/>
      <c r="BF125" s="57"/>
      <c r="BG125" s="57"/>
      <c r="BH125" s="57"/>
      <c r="BI125" s="57"/>
      <c r="BJ125" s="57"/>
      <c r="BK125" s="57"/>
      <c r="BL125" s="57"/>
      <c r="BM125" s="57"/>
      <c r="BN125" s="57"/>
      <c r="BO125" s="57"/>
      <c r="BP125" s="57"/>
      <c r="BQ125" s="57"/>
      <c r="BR125" s="57"/>
    </row>
    <row r="126" spans="1:70" x14ac:dyDescent="0.25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  <c r="BC126" s="57"/>
      <c r="BD126" s="57"/>
      <c r="BE126" s="57"/>
      <c r="BF126" s="57"/>
      <c r="BG126" s="57"/>
      <c r="BH126" s="57"/>
      <c r="BI126" s="57"/>
      <c r="BJ126" s="57"/>
      <c r="BK126" s="57"/>
      <c r="BL126" s="57"/>
      <c r="BM126" s="57"/>
      <c r="BN126" s="57"/>
      <c r="BO126" s="57"/>
      <c r="BP126" s="57"/>
      <c r="BQ126" s="57"/>
      <c r="BR126" s="57"/>
    </row>
    <row r="127" spans="1:70" x14ac:dyDescent="0.25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7"/>
      <c r="BB127" s="57"/>
      <c r="BC127" s="57"/>
      <c r="BD127" s="57"/>
      <c r="BE127" s="57"/>
      <c r="BF127" s="57"/>
      <c r="BG127" s="57"/>
      <c r="BH127" s="57"/>
      <c r="BI127" s="57"/>
      <c r="BJ127" s="57"/>
      <c r="BK127" s="57"/>
      <c r="BL127" s="57"/>
      <c r="BM127" s="57"/>
      <c r="BN127" s="57"/>
      <c r="BO127" s="57"/>
      <c r="BP127" s="57"/>
      <c r="BQ127" s="57"/>
      <c r="BR127" s="57"/>
    </row>
    <row r="128" spans="1:70" x14ac:dyDescent="0.25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57"/>
      <c r="AW128" s="57"/>
      <c r="AX128" s="57"/>
      <c r="AY128" s="57"/>
      <c r="AZ128" s="57"/>
      <c r="BA128" s="57"/>
      <c r="BB128" s="57"/>
      <c r="BC128" s="57"/>
      <c r="BD128" s="57"/>
      <c r="BE128" s="57"/>
      <c r="BF128" s="57"/>
      <c r="BG128" s="57"/>
      <c r="BH128" s="57"/>
      <c r="BI128" s="57"/>
      <c r="BJ128" s="57"/>
      <c r="BK128" s="57"/>
      <c r="BL128" s="57"/>
      <c r="BM128" s="57"/>
      <c r="BN128" s="57"/>
      <c r="BO128" s="57"/>
      <c r="BP128" s="57"/>
      <c r="BQ128" s="57"/>
      <c r="BR128" s="57"/>
    </row>
    <row r="129" spans="1:70" x14ac:dyDescent="0.25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  <c r="AR129" s="57"/>
      <c r="AS129" s="57"/>
      <c r="AT129" s="57"/>
      <c r="AU129" s="57"/>
      <c r="AV129" s="57"/>
      <c r="AW129" s="57"/>
      <c r="AX129" s="57"/>
      <c r="AY129" s="57"/>
      <c r="AZ129" s="57"/>
      <c r="BA129" s="57"/>
      <c r="BB129" s="57"/>
      <c r="BC129" s="57"/>
      <c r="BD129" s="57"/>
      <c r="BE129" s="57"/>
      <c r="BF129" s="57"/>
      <c r="BG129" s="57"/>
      <c r="BH129" s="57"/>
      <c r="BI129" s="57"/>
      <c r="BJ129" s="57"/>
      <c r="BK129" s="57"/>
      <c r="BL129" s="57"/>
      <c r="BM129" s="57"/>
      <c r="BN129" s="57"/>
      <c r="BO129" s="57"/>
      <c r="BP129" s="57"/>
      <c r="BQ129" s="57"/>
      <c r="BR129" s="57"/>
    </row>
    <row r="130" spans="1:70" x14ac:dyDescent="0.25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  <c r="AR130" s="57"/>
      <c r="AS130" s="57"/>
      <c r="AT130" s="57"/>
      <c r="AU130" s="57"/>
      <c r="AV130" s="57"/>
      <c r="AW130" s="57"/>
      <c r="AX130" s="57"/>
      <c r="AY130" s="57"/>
      <c r="AZ130" s="57"/>
      <c r="BA130" s="57"/>
      <c r="BB130" s="57"/>
      <c r="BC130" s="57"/>
      <c r="BD130" s="57"/>
      <c r="BE130" s="57"/>
      <c r="BF130" s="57"/>
      <c r="BG130" s="57"/>
      <c r="BH130" s="57"/>
      <c r="BI130" s="57"/>
      <c r="BJ130" s="57"/>
      <c r="BK130" s="57"/>
      <c r="BL130" s="57"/>
      <c r="BM130" s="57"/>
      <c r="BN130" s="57"/>
      <c r="BO130" s="57"/>
      <c r="BP130" s="57"/>
      <c r="BQ130" s="57"/>
      <c r="BR130" s="57"/>
    </row>
    <row r="131" spans="1:70" x14ac:dyDescent="0.25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  <c r="AR131" s="57"/>
      <c r="AS131" s="57"/>
      <c r="AT131" s="57"/>
      <c r="AU131" s="57"/>
      <c r="AV131" s="57"/>
      <c r="AW131" s="57"/>
      <c r="AX131" s="57"/>
      <c r="AY131" s="57"/>
      <c r="AZ131" s="57"/>
      <c r="BA131" s="57"/>
      <c r="BB131" s="57"/>
      <c r="BC131" s="57"/>
      <c r="BD131" s="57"/>
      <c r="BE131" s="57"/>
      <c r="BF131" s="57"/>
      <c r="BG131" s="57"/>
      <c r="BH131" s="57"/>
      <c r="BI131" s="57"/>
      <c r="BJ131" s="57"/>
      <c r="BK131" s="57"/>
      <c r="BL131" s="57"/>
      <c r="BM131" s="57"/>
      <c r="BN131" s="57"/>
      <c r="BO131" s="57"/>
      <c r="BP131" s="57"/>
      <c r="BQ131" s="57"/>
      <c r="BR131" s="57"/>
    </row>
    <row r="132" spans="1:70" x14ac:dyDescent="0.25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  <c r="AR132" s="57"/>
      <c r="AS132" s="57"/>
      <c r="AT132" s="57"/>
      <c r="AU132" s="57"/>
      <c r="AV132" s="57"/>
      <c r="AW132" s="57"/>
      <c r="AX132" s="57"/>
      <c r="AY132" s="57"/>
      <c r="AZ132" s="57"/>
      <c r="BA132" s="57"/>
      <c r="BB132" s="57"/>
      <c r="BC132" s="57"/>
      <c r="BD132" s="57"/>
      <c r="BE132" s="57"/>
      <c r="BF132" s="57"/>
      <c r="BG132" s="57"/>
      <c r="BH132" s="57"/>
      <c r="BI132" s="57"/>
      <c r="BJ132" s="57"/>
      <c r="BK132" s="57"/>
      <c r="BL132" s="57"/>
      <c r="BM132" s="57"/>
      <c r="BN132" s="57"/>
      <c r="BO132" s="57"/>
      <c r="BP132" s="57"/>
      <c r="BQ132" s="57"/>
      <c r="BR132" s="57"/>
    </row>
    <row r="133" spans="1:70" x14ac:dyDescent="0.25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  <c r="AR133" s="57"/>
      <c r="AS133" s="57"/>
      <c r="AT133" s="57"/>
      <c r="AU133" s="57"/>
      <c r="AV133" s="57"/>
      <c r="AW133" s="57"/>
      <c r="AX133" s="57"/>
      <c r="AY133" s="57"/>
      <c r="AZ133" s="57"/>
      <c r="BA133" s="57"/>
      <c r="BB133" s="57"/>
      <c r="BC133" s="57"/>
      <c r="BD133" s="57"/>
      <c r="BE133" s="57"/>
      <c r="BF133" s="57"/>
      <c r="BG133" s="57"/>
      <c r="BH133" s="57"/>
      <c r="BI133" s="57"/>
      <c r="BJ133" s="57"/>
      <c r="BK133" s="57"/>
      <c r="BL133" s="57"/>
      <c r="BM133" s="57"/>
      <c r="BN133" s="57"/>
      <c r="BO133" s="57"/>
      <c r="BP133" s="57"/>
      <c r="BQ133" s="57"/>
      <c r="BR133" s="57"/>
    </row>
    <row r="134" spans="1:70" x14ac:dyDescent="0.25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  <c r="AR134" s="57"/>
      <c r="AS134" s="57"/>
      <c r="AT134" s="57"/>
      <c r="AU134" s="57"/>
      <c r="AV134" s="57"/>
      <c r="AW134" s="57"/>
      <c r="AX134" s="57"/>
      <c r="AY134" s="57"/>
      <c r="AZ134" s="57"/>
      <c r="BA134" s="57"/>
      <c r="BB134" s="57"/>
      <c r="BC134" s="57"/>
      <c r="BD134" s="57"/>
      <c r="BE134" s="57"/>
      <c r="BF134" s="57"/>
      <c r="BG134" s="57"/>
      <c r="BH134" s="57"/>
      <c r="BI134" s="57"/>
      <c r="BJ134" s="57"/>
      <c r="BK134" s="57"/>
      <c r="BL134" s="57"/>
      <c r="BM134" s="57"/>
      <c r="BN134" s="57"/>
      <c r="BO134" s="57"/>
      <c r="BP134" s="57"/>
      <c r="BQ134" s="57"/>
      <c r="BR134" s="57"/>
    </row>
    <row r="135" spans="1:70" x14ac:dyDescent="0.25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  <c r="AR135" s="57"/>
      <c r="AS135" s="57"/>
      <c r="AT135" s="57"/>
      <c r="AU135" s="57"/>
      <c r="AV135" s="57"/>
      <c r="AW135" s="57"/>
      <c r="AX135" s="57"/>
      <c r="AY135" s="57"/>
      <c r="AZ135" s="57"/>
      <c r="BA135" s="57"/>
      <c r="BB135" s="57"/>
      <c r="BC135" s="57"/>
      <c r="BD135" s="57"/>
      <c r="BE135" s="57"/>
      <c r="BF135" s="57"/>
      <c r="BG135" s="57"/>
      <c r="BH135" s="57"/>
      <c r="BI135" s="57"/>
      <c r="BJ135" s="57"/>
      <c r="BK135" s="57"/>
      <c r="BL135" s="57"/>
      <c r="BM135" s="57"/>
      <c r="BN135" s="57"/>
      <c r="BO135" s="57"/>
      <c r="BP135" s="57"/>
      <c r="BQ135" s="57"/>
      <c r="BR135" s="57"/>
    </row>
    <row r="136" spans="1:70" x14ac:dyDescent="0.25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  <c r="AR136" s="57"/>
      <c r="AS136" s="57"/>
      <c r="AT136" s="57"/>
      <c r="AU136" s="57"/>
      <c r="AV136" s="57"/>
      <c r="AW136" s="57"/>
      <c r="AX136" s="57"/>
      <c r="AY136" s="57"/>
      <c r="AZ136" s="57"/>
      <c r="BA136" s="57"/>
      <c r="BB136" s="57"/>
      <c r="BC136" s="57"/>
      <c r="BD136" s="57"/>
      <c r="BE136" s="57"/>
      <c r="BF136" s="57"/>
      <c r="BG136" s="57"/>
      <c r="BH136" s="57"/>
      <c r="BI136" s="57"/>
      <c r="BJ136" s="57"/>
      <c r="BK136" s="57"/>
      <c r="BL136" s="57"/>
      <c r="BM136" s="57"/>
      <c r="BN136" s="57"/>
      <c r="BO136" s="57"/>
      <c r="BP136" s="57"/>
      <c r="BQ136" s="57"/>
      <c r="BR136" s="57"/>
    </row>
    <row r="137" spans="1:70" x14ac:dyDescent="0.25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  <c r="AR137" s="57"/>
      <c r="AS137" s="57"/>
      <c r="AT137" s="57"/>
      <c r="AU137" s="57"/>
      <c r="AV137" s="57"/>
      <c r="AW137" s="57"/>
      <c r="AX137" s="57"/>
      <c r="AY137" s="57"/>
      <c r="AZ137" s="57"/>
      <c r="BA137" s="57"/>
      <c r="BB137" s="57"/>
      <c r="BC137" s="57"/>
      <c r="BD137" s="57"/>
      <c r="BE137" s="57"/>
      <c r="BF137" s="57"/>
      <c r="BG137" s="57"/>
      <c r="BH137" s="57"/>
      <c r="BI137" s="57"/>
      <c r="BJ137" s="57"/>
      <c r="BK137" s="57"/>
      <c r="BL137" s="57"/>
      <c r="BM137" s="57"/>
      <c r="BN137" s="57"/>
      <c r="BO137" s="57"/>
      <c r="BP137" s="57"/>
      <c r="BQ137" s="57"/>
      <c r="BR137" s="57"/>
    </row>
    <row r="138" spans="1:70" x14ac:dyDescent="0.25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  <c r="AR138" s="57"/>
      <c r="AS138" s="57"/>
      <c r="AT138" s="57"/>
      <c r="AU138" s="57"/>
      <c r="AV138" s="57"/>
      <c r="AW138" s="57"/>
      <c r="AX138" s="57"/>
      <c r="AY138" s="57"/>
      <c r="AZ138" s="57"/>
      <c r="BA138" s="57"/>
      <c r="BB138" s="57"/>
      <c r="BC138" s="57"/>
      <c r="BD138" s="57"/>
      <c r="BE138" s="57"/>
      <c r="BF138" s="57"/>
      <c r="BG138" s="57"/>
      <c r="BH138" s="57"/>
      <c r="BI138" s="57"/>
      <c r="BJ138" s="57"/>
      <c r="BK138" s="57"/>
      <c r="BL138" s="57"/>
      <c r="BM138" s="57"/>
      <c r="BN138" s="57"/>
      <c r="BO138" s="57"/>
      <c r="BP138" s="57"/>
      <c r="BQ138" s="57"/>
      <c r="BR138" s="57"/>
    </row>
    <row r="139" spans="1:70" x14ac:dyDescent="0.25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  <c r="AR139" s="57"/>
      <c r="AS139" s="57"/>
      <c r="AT139" s="57"/>
      <c r="AU139" s="57"/>
      <c r="AV139" s="57"/>
      <c r="AW139" s="57"/>
      <c r="AX139" s="57"/>
      <c r="AY139" s="57"/>
      <c r="AZ139" s="57"/>
      <c r="BA139" s="57"/>
      <c r="BB139" s="57"/>
      <c r="BC139" s="57"/>
      <c r="BD139" s="57"/>
      <c r="BE139" s="57"/>
      <c r="BF139" s="57"/>
      <c r="BG139" s="57"/>
      <c r="BH139" s="57"/>
      <c r="BI139" s="57"/>
      <c r="BJ139" s="57"/>
      <c r="BK139" s="57"/>
      <c r="BL139" s="57"/>
      <c r="BM139" s="57"/>
      <c r="BN139" s="57"/>
      <c r="BO139" s="57"/>
      <c r="BP139" s="57"/>
      <c r="BQ139" s="57"/>
      <c r="BR139" s="57"/>
    </row>
    <row r="140" spans="1:70" x14ac:dyDescent="0.25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  <c r="AR140" s="57"/>
      <c r="AS140" s="57"/>
      <c r="AT140" s="57"/>
      <c r="AU140" s="57"/>
      <c r="AV140" s="57"/>
      <c r="AW140" s="57"/>
      <c r="AX140" s="57"/>
      <c r="AY140" s="57"/>
      <c r="AZ140" s="57"/>
      <c r="BA140" s="57"/>
      <c r="BB140" s="57"/>
      <c r="BC140" s="57"/>
      <c r="BD140" s="57"/>
      <c r="BE140" s="57"/>
      <c r="BF140" s="57"/>
      <c r="BG140" s="57"/>
      <c r="BH140" s="57"/>
      <c r="BI140" s="57"/>
      <c r="BJ140" s="57"/>
      <c r="BK140" s="57"/>
      <c r="BL140" s="57"/>
      <c r="BM140" s="57"/>
      <c r="BN140" s="57"/>
      <c r="BO140" s="57"/>
      <c r="BP140" s="57"/>
      <c r="BQ140" s="57"/>
      <c r="BR140" s="57"/>
    </row>
    <row r="141" spans="1:70" x14ac:dyDescent="0.25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  <c r="AR141" s="57"/>
      <c r="AS141" s="57"/>
      <c r="AT141" s="57"/>
      <c r="AU141" s="57"/>
      <c r="AV141" s="57"/>
      <c r="AW141" s="57"/>
      <c r="AX141" s="57"/>
      <c r="AY141" s="57"/>
      <c r="AZ141" s="57"/>
      <c r="BA141" s="57"/>
      <c r="BB141" s="57"/>
      <c r="BC141" s="57"/>
      <c r="BD141" s="57"/>
      <c r="BE141" s="57"/>
      <c r="BF141" s="57"/>
      <c r="BG141" s="57"/>
      <c r="BH141" s="57"/>
      <c r="BI141" s="57"/>
      <c r="BJ141" s="57"/>
      <c r="BK141" s="57"/>
      <c r="BL141" s="57"/>
      <c r="BM141" s="57"/>
      <c r="BN141" s="57"/>
      <c r="BO141" s="57"/>
      <c r="BP141" s="57"/>
      <c r="BQ141" s="57"/>
      <c r="BR141" s="57"/>
    </row>
    <row r="142" spans="1:70" x14ac:dyDescent="0.25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  <c r="AR142" s="57"/>
      <c r="AS142" s="57"/>
      <c r="AT142" s="57"/>
      <c r="AU142" s="57"/>
      <c r="AV142" s="57"/>
      <c r="AW142" s="57"/>
      <c r="AX142" s="57"/>
      <c r="AY142" s="57"/>
      <c r="AZ142" s="57"/>
      <c r="BA142" s="57"/>
      <c r="BB142" s="57"/>
      <c r="BC142" s="57"/>
      <c r="BD142" s="57"/>
      <c r="BE142" s="57"/>
      <c r="BF142" s="57"/>
      <c r="BG142" s="57"/>
      <c r="BH142" s="57"/>
      <c r="BI142" s="57"/>
      <c r="BJ142" s="57"/>
      <c r="BK142" s="57"/>
      <c r="BL142" s="57"/>
      <c r="BM142" s="57"/>
      <c r="BN142" s="57"/>
      <c r="BO142" s="57"/>
      <c r="BP142" s="57"/>
      <c r="BQ142" s="57"/>
      <c r="BR142" s="57"/>
    </row>
    <row r="143" spans="1:70" x14ac:dyDescent="0.25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  <c r="BB143" s="57"/>
      <c r="BC143" s="57"/>
      <c r="BD143" s="57"/>
      <c r="BE143" s="57"/>
      <c r="BF143" s="57"/>
      <c r="BG143" s="57"/>
      <c r="BH143" s="57"/>
      <c r="BI143" s="57"/>
      <c r="BJ143" s="57"/>
      <c r="BK143" s="57"/>
      <c r="BL143" s="57"/>
      <c r="BM143" s="57"/>
      <c r="BN143" s="57"/>
      <c r="BO143" s="57"/>
      <c r="BP143" s="57"/>
      <c r="BQ143" s="57"/>
      <c r="BR143" s="57"/>
    </row>
    <row r="144" spans="1:70" x14ac:dyDescent="0.25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  <c r="AR144" s="57"/>
      <c r="AS144" s="57"/>
      <c r="AT144" s="57"/>
      <c r="AU144" s="57"/>
      <c r="AV144" s="57"/>
      <c r="AW144" s="57"/>
      <c r="AX144" s="57"/>
      <c r="AY144" s="57"/>
      <c r="AZ144" s="57"/>
      <c r="BA144" s="57"/>
      <c r="BB144" s="57"/>
      <c r="BC144" s="57"/>
      <c r="BD144" s="57"/>
      <c r="BE144" s="57"/>
      <c r="BF144" s="57"/>
      <c r="BG144" s="57"/>
      <c r="BH144" s="57"/>
      <c r="BI144" s="57"/>
      <c r="BJ144" s="57"/>
      <c r="BK144" s="57"/>
      <c r="BL144" s="57"/>
      <c r="BM144" s="57"/>
      <c r="BN144" s="57"/>
      <c r="BO144" s="57"/>
      <c r="BP144" s="57"/>
      <c r="BQ144" s="57"/>
      <c r="BR144" s="57"/>
    </row>
    <row r="145" spans="1:70" x14ac:dyDescent="0.25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  <c r="AR145" s="57"/>
      <c r="AS145" s="57"/>
      <c r="AT145" s="57"/>
      <c r="AU145" s="57"/>
      <c r="AV145" s="57"/>
      <c r="AW145" s="57"/>
      <c r="AX145" s="57"/>
      <c r="AY145" s="57"/>
      <c r="AZ145" s="57"/>
      <c r="BA145" s="57"/>
      <c r="BB145" s="57"/>
      <c r="BC145" s="57"/>
      <c r="BD145" s="57"/>
      <c r="BE145" s="57"/>
      <c r="BF145" s="57"/>
      <c r="BG145" s="57"/>
      <c r="BH145" s="57"/>
      <c r="BI145" s="57"/>
      <c r="BJ145" s="57"/>
      <c r="BK145" s="57"/>
      <c r="BL145" s="57"/>
      <c r="BM145" s="57"/>
      <c r="BN145" s="57"/>
      <c r="BO145" s="57"/>
      <c r="BP145" s="57"/>
      <c r="BQ145" s="57"/>
      <c r="BR145" s="57"/>
    </row>
    <row r="146" spans="1:70" x14ac:dyDescent="0.25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  <c r="AR146" s="57"/>
      <c r="AS146" s="57"/>
      <c r="AT146" s="57"/>
      <c r="AU146" s="57"/>
      <c r="AV146" s="57"/>
      <c r="AW146" s="57"/>
      <c r="AX146" s="57"/>
      <c r="AY146" s="57"/>
      <c r="AZ146" s="57"/>
      <c r="BA146" s="57"/>
      <c r="BB146" s="57"/>
      <c r="BC146" s="57"/>
      <c r="BD146" s="57"/>
      <c r="BE146" s="57"/>
      <c r="BF146" s="57"/>
      <c r="BG146" s="57"/>
      <c r="BH146" s="57"/>
      <c r="BI146" s="57"/>
      <c r="BJ146" s="57"/>
      <c r="BK146" s="57"/>
      <c r="BL146" s="57"/>
      <c r="BM146" s="57"/>
      <c r="BN146" s="57"/>
      <c r="BO146" s="57"/>
      <c r="BP146" s="57"/>
      <c r="BQ146" s="57"/>
      <c r="BR146" s="57"/>
    </row>
    <row r="147" spans="1:70" x14ac:dyDescent="0.25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  <c r="AR147" s="57"/>
      <c r="AS147" s="57"/>
      <c r="AT147" s="57"/>
      <c r="AU147" s="57"/>
      <c r="AV147" s="57"/>
      <c r="AW147" s="57"/>
      <c r="AX147" s="57"/>
      <c r="AY147" s="57"/>
      <c r="AZ147" s="57"/>
      <c r="BA147" s="57"/>
      <c r="BB147" s="57"/>
      <c r="BC147" s="57"/>
      <c r="BD147" s="57"/>
      <c r="BE147" s="57"/>
      <c r="BF147" s="57"/>
      <c r="BG147" s="57"/>
      <c r="BH147" s="57"/>
      <c r="BI147" s="57"/>
      <c r="BJ147" s="57"/>
      <c r="BK147" s="57"/>
      <c r="BL147" s="57"/>
      <c r="BM147" s="57"/>
      <c r="BN147" s="57"/>
      <c r="BO147" s="57"/>
      <c r="BP147" s="57"/>
      <c r="BQ147" s="57"/>
      <c r="BR147" s="57"/>
    </row>
    <row r="148" spans="1:70" x14ac:dyDescent="0.25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  <c r="AR148" s="57"/>
      <c r="AS148" s="57"/>
      <c r="AT148" s="57"/>
      <c r="AU148" s="57"/>
      <c r="AV148" s="57"/>
      <c r="AW148" s="57"/>
      <c r="AX148" s="57"/>
      <c r="AY148" s="57"/>
      <c r="AZ148" s="57"/>
      <c r="BA148" s="57"/>
      <c r="BB148" s="57"/>
      <c r="BC148" s="57"/>
      <c r="BD148" s="57"/>
      <c r="BE148" s="57"/>
      <c r="BF148" s="57"/>
      <c r="BG148" s="57"/>
      <c r="BH148" s="57"/>
      <c r="BI148" s="57"/>
      <c r="BJ148" s="57"/>
      <c r="BK148" s="57"/>
      <c r="BL148" s="57"/>
      <c r="BM148" s="57"/>
      <c r="BN148" s="57"/>
      <c r="BO148" s="57"/>
      <c r="BP148" s="57"/>
      <c r="BQ148" s="57"/>
      <c r="BR148" s="57"/>
    </row>
    <row r="149" spans="1:70" x14ac:dyDescent="0.25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  <c r="AR149" s="57"/>
      <c r="AS149" s="57"/>
      <c r="AT149" s="57"/>
      <c r="AU149" s="57"/>
      <c r="AV149" s="57"/>
      <c r="AW149" s="57"/>
      <c r="AX149" s="57"/>
      <c r="AY149" s="57"/>
      <c r="AZ149" s="57"/>
      <c r="BA149" s="57"/>
      <c r="BB149" s="57"/>
      <c r="BC149" s="57"/>
      <c r="BD149" s="57"/>
      <c r="BE149" s="57"/>
      <c r="BF149" s="57"/>
      <c r="BG149" s="57"/>
      <c r="BH149" s="57"/>
      <c r="BI149" s="57"/>
      <c r="BJ149" s="57"/>
      <c r="BK149" s="57"/>
      <c r="BL149" s="57"/>
      <c r="BM149" s="57"/>
      <c r="BN149" s="57"/>
      <c r="BO149" s="57"/>
      <c r="BP149" s="57"/>
      <c r="BQ149" s="57"/>
      <c r="BR149" s="57"/>
    </row>
    <row r="150" spans="1:70" x14ac:dyDescent="0.25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  <c r="AR150" s="57"/>
      <c r="AS150" s="57"/>
      <c r="AT150" s="57"/>
      <c r="AU150" s="57"/>
      <c r="AV150" s="57"/>
      <c r="AW150" s="57"/>
      <c r="AX150" s="57"/>
      <c r="AY150" s="57"/>
      <c r="AZ150" s="57"/>
      <c r="BA150" s="57"/>
      <c r="BB150" s="57"/>
      <c r="BC150" s="57"/>
      <c r="BD150" s="57"/>
      <c r="BE150" s="57"/>
      <c r="BF150" s="57"/>
      <c r="BG150" s="57"/>
      <c r="BH150" s="57"/>
      <c r="BI150" s="57"/>
      <c r="BJ150" s="57"/>
      <c r="BK150" s="57"/>
      <c r="BL150" s="57"/>
      <c r="BM150" s="57"/>
      <c r="BN150" s="57"/>
      <c r="BO150" s="57"/>
      <c r="BP150" s="57"/>
      <c r="BQ150" s="57"/>
      <c r="BR150" s="57"/>
    </row>
    <row r="151" spans="1:70" x14ac:dyDescent="0.25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  <c r="AR151" s="57"/>
      <c r="AS151" s="57"/>
      <c r="AT151" s="57"/>
      <c r="AU151" s="57"/>
      <c r="AV151" s="57"/>
      <c r="AW151" s="57"/>
      <c r="AX151" s="57"/>
      <c r="AY151" s="57"/>
      <c r="AZ151" s="57"/>
      <c r="BA151" s="57"/>
      <c r="BB151" s="57"/>
      <c r="BC151" s="57"/>
      <c r="BD151" s="57"/>
      <c r="BE151" s="57"/>
      <c r="BF151" s="57"/>
      <c r="BG151" s="57"/>
      <c r="BH151" s="57"/>
      <c r="BI151" s="57"/>
      <c r="BJ151" s="57"/>
      <c r="BK151" s="57"/>
      <c r="BL151" s="57"/>
      <c r="BM151" s="57"/>
      <c r="BN151" s="57"/>
      <c r="BO151" s="57"/>
      <c r="BP151" s="57"/>
      <c r="BQ151" s="57"/>
      <c r="BR151" s="57"/>
    </row>
    <row r="152" spans="1:70" x14ac:dyDescent="0.25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  <c r="AR152" s="57"/>
      <c r="AS152" s="57"/>
      <c r="AT152" s="57"/>
      <c r="AU152" s="57"/>
      <c r="AV152" s="57"/>
      <c r="AW152" s="57"/>
      <c r="AX152" s="57"/>
      <c r="AY152" s="57"/>
      <c r="AZ152" s="57"/>
      <c r="BA152" s="57"/>
      <c r="BB152" s="57"/>
      <c r="BC152" s="57"/>
      <c r="BD152" s="57"/>
      <c r="BE152" s="57"/>
      <c r="BF152" s="57"/>
      <c r="BG152" s="57"/>
      <c r="BH152" s="57"/>
      <c r="BI152" s="57"/>
      <c r="BJ152" s="57"/>
      <c r="BK152" s="57"/>
      <c r="BL152" s="57"/>
      <c r="BM152" s="57"/>
      <c r="BN152" s="57"/>
      <c r="BO152" s="57"/>
      <c r="BP152" s="57"/>
      <c r="BQ152" s="57"/>
      <c r="BR152" s="57"/>
    </row>
    <row r="153" spans="1:70" x14ac:dyDescent="0.25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  <c r="AR153" s="57"/>
      <c r="AS153" s="57"/>
      <c r="AT153" s="57"/>
      <c r="AU153" s="57"/>
      <c r="AV153" s="57"/>
      <c r="AW153" s="57"/>
      <c r="AX153" s="57"/>
      <c r="AY153" s="57"/>
      <c r="AZ153" s="57"/>
      <c r="BA153" s="57"/>
      <c r="BB153" s="57"/>
      <c r="BC153" s="57"/>
      <c r="BD153" s="57"/>
      <c r="BE153" s="57"/>
      <c r="BF153" s="57"/>
      <c r="BG153" s="57"/>
      <c r="BH153" s="57"/>
      <c r="BI153" s="57"/>
      <c r="BJ153" s="57"/>
      <c r="BK153" s="57"/>
      <c r="BL153" s="57"/>
      <c r="BM153" s="57"/>
      <c r="BN153" s="57"/>
      <c r="BO153" s="57"/>
      <c r="BP153" s="57"/>
      <c r="BQ153" s="57"/>
      <c r="BR153" s="57"/>
    </row>
    <row r="154" spans="1:70" x14ac:dyDescent="0.25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  <c r="AR154" s="57"/>
      <c r="AS154" s="57"/>
      <c r="AT154" s="57"/>
      <c r="AU154" s="57"/>
      <c r="AV154" s="57"/>
      <c r="AW154" s="57"/>
      <c r="AX154" s="57"/>
      <c r="AY154" s="57"/>
      <c r="AZ154" s="57"/>
      <c r="BA154" s="57"/>
      <c r="BB154" s="57"/>
      <c r="BC154" s="57"/>
      <c r="BD154" s="57"/>
      <c r="BE154" s="57"/>
      <c r="BF154" s="57"/>
      <c r="BG154" s="57"/>
      <c r="BH154" s="57"/>
      <c r="BI154" s="57"/>
      <c r="BJ154" s="57"/>
      <c r="BK154" s="57"/>
      <c r="BL154" s="57"/>
      <c r="BM154" s="57"/>
      <c r="BN154" s="57"/>
      <c r="BO154" s="57"/>
      <c r="BP154" s="57"/>
      <c r="BQ154" s="57"/>
      <c r="BR154" s="57"/>
    </row>
    <row r="155" spans="1:70" x14ac:dyDescent="0.25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  <c r="AR155" s="57"/>
      <c r="AS155" s="57"/>
      <c r="AT155" s="57"/>
      <c r="AU155" s="57"/>
      <c r="AV155" s="57"/>
      <c r="AW155" s="57"/>
      <c r="AX155" s="57"/>
      <c r="AY155" s="57"/>
      <c r="AZ155" s="57"/>
      <c r="BA155" s="57"/>
      <c r="BB155" s="57"/>
      <c r="BC155" s="57"/>
      <c r="BD155" s="57"/>
      <c r="BE155" s="57"/>
      <c r="BF155" s="57"/>
      <c r="BG155" s="57"/>
      <c r="BH155" s="57"/>
      <c r="BI155" s="57"/>
      <c r="BJ155" s="57"/>
      <c r="BK155" s="57"/>
      <c r="BL155" s="57"/>
      <c r="BM155" s="57"/>
      <c r="BN155" s="57"/>
      <c r="BO155" s="57"/>
      <c r="BP155" s="57"/>
      <c r="BQ155" s="57"/>
      <c r="BR155" s="57"/>
    </row>
    <row r="156" spans="1:70" x14ac:dyDescent="0.25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  <c r="AR156" s="57"/>
      <c r="AS156" s="57"/>
      <c r="AT156" s="57"/>
      <c r="AU156" s="57"/>
      <c r="AV156" s="57"/>
      <c r="AW156" s="57"/>
      <c r="AX156" s="57"/>
      <c r="AY156" s="57"/>
      <c r="AZ156" s="57"/>
      <c r="BA156" s="57"/>
      <c r="BB156" s="57"/>
      <c r="BC156" s="57"/>
      <c r="BD156" s="57"/>
      <c r="BE156" s="57"/>
      <c r="BF156" s="57"/>
      <c r="BG156" s="57"/>
      <c r="BH156" s="57"/>
      <c r="BI156" s="57"/>
      <c r="BJ156" s="57"/>
      <c r="BK156" s="57"/>
      <c r="BL156" s="57"/>
      <c r="BM156" s="57"/>
      <c r="BN156" s="57"/>
      <c r="BO156" s="57"/>
      <c r="BP156" s="57"/>
      <c r="BQ156" s="57"/>
      <c r="BR156" s="57"/>
    </row>
    <row r="157" spans="1:70" x14ac:dyDescent="0.25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  <c r="AR157" s="57"/>
      <c r="AS157" s="57"/>
      <c r="AT157" s="57"/>
      <c r="AU157" s="57"/>
      <c r="AV157" s="57"/>
      <c r="AW157" s="57"/>
      <c r="AX157" s="57"/>
      <c r="AY157" s="57"/>
      <c r="AZ157" s="57"/>
      <c r="BA157" s="57"/>
      <c r="BB157" s="57"/>
      <c r="BC157" s="57"/>
      <c r="BD157" s="57"/>
      <c r="BE157" s="57"/>
      <c r="BF157" s="57"/>
      <c r="BG157" s="57"/>
      <c r="BH157" s="57"/>
      <c r="BI157" s="57"/>
      <c r="BJ157" s="57"/>
      <c r="BK157" s="57"/>
      <c r="BL157" s="57"/>
      <c r="BM157" s="57"/>
      <c r="BN157" s="57"/>
      <c r="BO157" s="57"/>
      <c r="BP157" s="57"/>
      <c r="BQ157" s="57"/>
      <c r="BR157" s="57"/>
    </row>
    <row r="158" spans="1:70" x14ac:dyDescent="0.25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  <c r="AR158" s="57"/>
      <c r="AS158" s="57"/>
      <c r="AT158" s="57"/>
      <c r="AU158" s="57"/>
      <c r="AV158" s="57"/>
      <c r="AW158" s="57"/>
      <c r="AX158" s="57"/>
      <c r="AY158" s="57"/>
      <c r="AZ158" s="57"/>
      <c r="BA158" s="57"/>
      <c r="BB158" s="57"/>
      <c r="BC158" s="57"/>
      <c r="BD158" s="57"/>
      <c r="BE158" s="57"/>
      <c r="BF158" s="57"/>
      <c r="BG158" s="57"/>
      <c r="BH158" s="57"/>
      <c r="BI158" s="57"/>
      <c r="BJ158" s="57"/>
      <c r="BK158" s="57"/>
      <c r="BL158" s="57"/>
      <c r="BM158" s="57"/>
      <c r="BN158" s="57"/>
      <c r="BO158" s="57"/>
      <c r="BP158" s="57"/>
      <c r="BQ158" s="57"/>
      <c r="BR158" s="57"/>
    </row>
    <row r="159" spans="1:70" x14ac:dyDescent="0.25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  <c r="BC159" s="57"/>
      <c r="BD159" s="57"/>
      <c r="BE159" s="57"/>
      <c r="BF159" s="57"/>
      <c r="BG159" s="57"/>
      <c r="BH159" s="57"/>
      <c r="BI159" s="57"/>
      <c r="BJ159" s="57"/>
      <c r="BK159" s="57"/>
      <c r="BL159" s="57"/>
      <c r="BM159" s="57"/>
      <c r="BN159" s="57"/>
      <c r="BO159" s="57"/>
      <c r="BP159" s="57"/>
      <c r="BQ159" s="57"/>
      <c r="BR159" s="57"/>
    </row>
    <row r="160" spans="1:70" x14ac:dyDescent="0.25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  <c r="AR160" s="57"/>
      <c r="AS160" s="57"/>
      <c r="AT160" s="57"/>
      <c r="AU160" s="57"/>
      <c r="AV160" s="57"/>
      <c r="AW160" s="57"/>
      <c r="AX160" s="57"/>
      <c r="AY160" s="57"/>
      <c r="AZ160" s="57"/>
      <c r="BA160" s="57"/>
      <c r="BB160" s="57"/>
      <c r="BC160" s="57"/>
      <c r="BD160" s="57"/>
      <c r="BE160" s="57"/>
      <c r="BF160" s="57"/>
      <c r="BG160" s="57"/>
      <c r="BH160" s="57"/>
      <c r="BI160" s="57"/>
      <c r="BJ160" s="57"/>
      <c r="BK160" s="57"/>
      <c r="BL160" s="57"/>
      <c r="BM160" s="57"/>
      <c r="BN160" s="57"/>
      <c r="BO160" s="57"/>
      <c r="BP160" s="57"/>
      <c r="BQ160" s="57"/>
      <c r="BR160" s="57"/>
    </row>
    <row r="161" spans="1:70" x14ac:dyDescent="0.25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  <c r="AR161" s="57"/>
      <c r="AS161" s="57"/>
      <c r="AT161" s="57"/>
      <c r="AU161" s="57"/>
      <c r="AV161" s="57"/>
      <c r="AW161" s="57"/>
      <c r="AX161" s="57"/>
      <c r="AY161" s="57"/>
      <c r="AZ161" s="57"/>
      <c r="BA161" s="57"/>
      <c r="BB161" s="57"/>
      <c r="BC161" s="57"/>
      <c r="BD161" s="57"/>
      <c r="BE161" s="57"/>
      <c r="BF161" s="57"/>
      <c r="BG161" s="57"/>
      <c r="BH161" s="57"/>
      <c r="BI161" s="57"/>
      <c r="BJ161" s="57"/>
      <c r="BK161" s="57"/>
      <c r="BL161" s="57"/>
      <c r="BM161" s="57"/>
      <c r="BN161" s="57"/>
      <c r="BO161" s="57"/>
      <c r="BP161" s="57"/>
      <c r="BQ161" s="57"/>
      <c r="BR161" s="57"/>
    </row>
    <row r="162" spans="1:70" x14ac:dyDescent="0.25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  <c r="AR162" s="57"/>
      <c r="AS162" s="57"/>
      <c r="AT162" s="57"/>
      <c r="AU162" s="57"/>
      <c r="AV162" s="57"/>
      <c r="AW162" s="57"/>
      <c r="AX162" s="57"/>
      <c r="AY162" s="57"/>
      <c r="AZ162" s="57"/>
      <c r="BA162" s="57"/>
      <c r="BB162" s="57"/>
      <c r="BC162" s="57"/>
      <c r="BD162" s="57"/>
      <c r="BE162" s="57"/>
      <c r="BF162" s="57"/>
      <c r="BG162" s="57"/>
      <c r="BH162" s="57"/>
      <c r="BI162" s="57"/>
      <c r="BJ162" s="57"/>
      <c r="BK162" s="57"/>
      <c r="BL162" s="57"/>
      <c r="BM162" s="57"/>
      <c r="BN162" s="57"/>
      <c r="BO162" s="57"/>
      <c r="BP162" s="57"/>
      <c r="BQ162" s="57"/>
      <c r="BR162" s="57"/>
    </row>
    <row r="163" spans="1:70" x14ac:dyDescent="0.25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  <c r="AR163" s="57"/>
      <c r="AS163" s="57"/>
      <c r="AT163" s="57"/>
      <c r="AU163" s="57"/>
      <c r="AV163" s="57"/>
      <c r="AW163" s="57"/>
      <c r="AX163" s="57"/>
      <c r="AY163" s="57"/>
      <c r="AZ163" s="57"/>
      <c r="BA163" s="57"/>
      <c r="BB163" s="57"/>
      <c r="BC163" s="57"/>
      <c r="BD163" s="57"/>
      <c r="BE163" s="57"/>
      <c r="BF163" s="57"/>
      <c r="BG163" s="57"/>
      <c r="BH163" s="57"/>
      <c r="BI163" s="57"/>
      <c r="BJ163" s="57"/>
      <c r="BK163" s="57"/>
      <c r="BL163" s="57"/>
      <c r="BM163" s="57"/>
      <c r="BN163" s="57"/>
      <c r="BO163" s="57"/>
      <c r="BP163" s="57"/>
      <c r="BQ163" s="57"/>
      <c r="BR163" s="57"/>
    </row>
    <row r="164" spans="1:70" x14ac:dyDescent="0.25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  <c r="AR164" s="57"/>
      <c r="AS164" s="57"/>
      <c r="AT164" s="57"/>
      <c r="AU164" s="57"/>
      <c r="AV164" s="57"/>
      <c r="AW164" s="57"/>
      <c r="AX164" s="57"/>
      <c r="AY164" s="57"/>
      <c r="AZ164" s="57"/>
      <c r="BA164" s="57"/>
      <c r="BB164" s="57"/>
      <c r="BC164" s="57"/>
      <c r="BD164" s="57"/>
      <c r="BE164" s="57"/>
      <c r="BF164" s="57"/>
      <c r="BG164" s="57"/>
      <c r="BH164" s="57"/>
      <c r="BI164" s="57"/>
      <c r="BJ164" s="57"/>
      <c r="BK164" s="57"/>
      <c r="BL164" s="57"/>
      <c r="BM164" s="57"/>
      <c r="BN164" s="57"/>
      <c r="BO164" s="57"/>
      <c r="BP164" s="57"/>
      <c r="BQ164" s="57"/>
      <c r="BR164" s="57"/>
    </row>
    <row r="165" spans="1:70" x14ac:dyDescent="0.25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  <c r="AR165" s="57"/>
      <c r="AS165" s="57"/>
      <c r="AT165" s="57"/>
      <c r="AU165" s="57"/>
      <c r="AV165" s="57"/>
      <c r="AW165" s="57"/>
      <c r="AX165" s="57"/>
      <c r="AY165" s="57"/>
      <c r="AZ165" s="57"/>
      <c r="BA165" s="57"/>
      <c r="BB165" s="57"/>
      <c r="BC165" s="57"/>
      <c r="BD165" s="57"/>
      <c r="BE165" s="57"/>
      <c r="BF165" s="57"/>
      <c r="BG165" s="57"/>
      <c r="BH165" s="57"/>
      <c r="BI165" s="57"/>
      <c r="BJ165" s="57"/>
      <c r="BK165" s="57"/>
      <c r="BL165" s="57"/>
      <c r="BM165" s="57"/>
      <c r="BN165" s="57"/>
      <c r="BO165" s="57"/>
      <c r="BP165" s="57"/>
      <c r="BQ165" s="57"/>
      <c r="BR165" s="57"/>
    </row>
    <row r="166" spans="1:70" x14ac:dyDescent="0.25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  <c r="AR166" s="57"/>
      <c r="AS166" s="57"/>
      <c r="AT166" s="57"/>
      <c r="AU166" s="57"/>
      <c r="AV166" s="57"/>
      <c r="AW166" s="57"/>
      <c r="AX166" s="57"/>
      <c r="AY166" s="57"/>
      <c r="AZ166" s="57"/>
      <c r="BA166" s="57"/>
      <c r="BB166" s="57"/>
      <c r="BC166" s="57"/>
      <c r="BD166" s="57"/>
      <c r="BE166" s="57"/>
      <c r="BF166" s="57"/>
      <c r="BG166" s="57"/>
      <c r="BH166" s="57"/>
      <c r="BI166" s="57"/>
      <c r="BJ166" s="57"/>
      <c r="BK166" s="57"/>
      <c r="BL166" s="57"/>
      <c r="BM166" s="57"/>
      <c r="BN166" s="57"/>
      <c r="BO166" s="57"/>
      <c r="BP166" s="57"/>
      <c r="BQ166" s="57"/>
      <c r="BR166" s="57"/>
    </row>
    <row r="167" spans="1:70" x14ac:dyDescent="0.25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  <c r="AR167" s="57"/>
      <c r="AS167" s="57"/>
      <c r="AT167" s="57"/>
      <c r="AU167" s="57"/>
      <c r="AV167" s="57"/>
      <c r="AW167" s="57"/>
      <c r="AX167" s="57"/>
      <c r="AY167" s="57"/>
      <c r="AZ167" s="57"/>
      <c r="BA167" s="57"/>
      <c r="BB167" s="57"/>
      <c r="BC167" s="57"/>
      <c r="BD167" s="57"/>
      <c r="BE167" s="57"/>
      <c r="BF167" s="57"/>
      <c r="BG167" s="57"/>
      <c r="BH167" s="57"/>
      <c r="BI167" s="57"/>
      <c r="BJ167" s="57"/>
      <c r="BK167" s="57"/>
      <c r="BL167" s="57"/>
      <c r="BM167" s="57"/>
      <c r="BN167" s="57"/>
      <c r="BO167" s="57"/>
      <c r="BP167" s="57"/>
      <c r="BQ167" s="57"/>
      <c r="BR167" s="57"/>
    </row>
    <row r="168" spans="1:70" x14ac:dyDescent="0.25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  <c r="AR168" s="57"/>
      <c r="AS168" s="57"/>
      <c r="AT168" s="57"/>
      <c r="AU168" s="57"/>
      <c r="AV168" s="57"/>
      <c r="AW168" s="57"/>
      <c r="AX168" s="57"/>
      <c r="AY168" s="57"/>
      <c r="AZ168" s="57"/>
      <c r="BA168" s="57"/>
      <c r="BB168" s="57"/>
      <c r="BC168" s="57"/>
      <c r="BD168" s="57"/>
      <c r="BE168" s="57"/>
      <c r="BF168" s="57"/>
      <c r="BG168" s="57"/>
      <c r="BH168" s="57"/>
      <c r="BI168" s="57"/>
      <c r="BJ168" s="57"/>
      <c r="BK168" s="57"/>
      <c r="BL168" s="57"/>
      <c r="BM168" s="57"/>
      <c r="BN168" s="57"/>
      <c r="BO168" s="57"/>
      <c r="BP168" s="57"/>
      <c r="BQ168" s="57"/>
      <c r="BR168" s="57"/>
    </row>
    <row r="169" spans="1:70" x14ac:dyDescent="0.25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  <c r="AR169" s="57"/>
      <c r="AS169" s="57"/>
      <c r="AT169" s="57"/>
      <c r="AU169" s="57"/>
      <c r="AV169" s="57"/>
      <c r="AW169" s="57"/>
      <c r="AX169" s="57"/>
      <c r="AY169" s="57"/>
      <c r="AZ169" s="57"/>
      <c r="BA169" s="57"/>
      <c r="BB169" s="57"/>
      <c r="BC169" s="57"/>
      <c r="BD169" s="57"/>
      <c r="BE169" s="57"/>
      <c r="BF169" s="57"/>
      <c r="BG169" s="57"/>
      <c r="BH169" s="57"/>
      <c r="BI169" s="57"/>
      <c r="BJ169" s="57"/>
      <c r="BK169" s="57"/>
      <c r="BL169" s="57"/>
      <c r="BM169" s="57"/>
      <c r="BN169" s="57"/>
      <c r="BO169" s="57"/>
      <c r="BP169" s="57"/>
      <c r="BQ169" s="57"/>
      <c r="BR169" s="57"/>
    </row>
    <row r="170" spans="1:70" x14ac:dyDescent="0.25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  <c r="AR170" s="57"/>
      <c r="AS170" s="57"/>
      <c r="AT170" s="57"/>
      <c r="AU170" s="57"/>
      <c r="AV170" s="57"/>
      <c r="AW170" s="57"/>
      <c r="AX170" s="57"/>
      <c r="AY170" s="57"/>
      <c r="AZ170" s="57"/>
      <c r="BA170" s="57"/>
      <c r="BB170" s="57"/>
      <c r="BC170" s="57"/>
      <c r="BD170" s="57"/>
      <c r="BE170" s="57"/>
      <c r="BF170" s="57"/>
      <c r="BG170" s="57"/>
      <c r="BH170" s="57"/>
      <c r="BI170" s="57"/>
      <c r="BJ170" s="57"/>
      <c r="BK170" s="57"/>
      <c r="BL170" s="57"/>
      <c r="BM170" s="57"/>
      <c r="BN170" s="57"/>
      <c r="BO170" s="57"/>
      <c r="BP170" s="57"/>
      <c r="BQ170" s="57"/>
      <c r="BR170" s="57"/>
    </row>
    <row r="171" spans="1:70" x14ac:dyDescent="0.25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  <c r="AR171" s="57"/>
      <c r="AS171" s="57"/>
      <c r="AT171" s="57"/>
      <c r="AU171" s="57"/>
      <c r="AV171" s="57"/>
      <c r="AW171" s="57"/>
      <c r="AX171" s="57"/>
      <c r="AY171" s="57"/>
      <c r="AZ171" s="57"/>
      <c r="BA171" s="57"/>
      <c r="BB171" s="57"/>
      <c r="BC171" s="57"/>
      <c r="BD171" s="57"/>
      <c r="BE171" s="57"/>
      <c r="BF171" s="57"/>
      <c r="BG171" s="57"/>
      <c r="BH171" s="57"/>
      <c r="BI171" s="57"/>
      <c r="BJ171" s="57"/>
      <c r="BK171" s="57"/>
      <c r="BL171" s="57"/>
      <c r="BM171" s="57"/>
      <c r="BN171" s="57"/>
      <c r="BO171" s="57"/>
      <c r="BP171" s="57"/>
      <c r="BQ171" s="57"/>
      <c r="BR171" s="57"/>
    </row>
    <row r="172" spans="1:70" x14ac:dyDescent="0.25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  <c r="AR172" s="57"/>
      <c r="AS172" s="57"/>
      <c r="AT172" s="57"/>
      <c r="AU172" s="57"/>
      <c r="AV172" s="57"/>
      <c r="AW172" s="57"/>
      <c r="AX172" s="57"/>
      <c r="AY172" s="57"/>
      <c r="AZ172" s="57"/>
      <c r="BA172" s="57"/>
      <c r="BB172" s="57"/>
      <c r="BC172" s="57"/>
      <c r="BD172" s="57"/>
      <c r="BE172" s="57"/>
      <c r="BF172" s="57"/>
      <c r="BG172" s="57"/>
      <c r="BH172" s="57"/>
      <c r="BI172" s="57"/>
      <c r="BJ172" s="57"/>
      <c r="BK172" s="57"/>
      <c r="BL172" s="57"/>
      <c r="BM172" s="57"/>
      <c r="BN172" s="57"/>
      <c r="BO172" s="57"/>
      <c r="BP172" s="57"/>
      <c r="BQ172" s="57"/>
      <c r="BR172" s="57"/>
    </row>
    <row r="173" spans="1:70" x14ac:dyDescent="0.25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  <c r="AR173" s="57"/>
      <c r="AS173" s="57"/>
      <c r="AT173" s="57"/>
      <c r="AU173" s="57"/>
      <c r="AV173" s="57"/>
      <c r="AW173" s="57"/>
      <c r="AX173" s="57"/>
      <c r="AY173" s="57"/>
      <c r="AZ173" s="57"/>
      <c r="BA173" s="57"/>
      <c r="BB173" s="57"/>
      <c r="BC173" s="57"/>
      <c r="BD173" s="57"/>
      <c r="BE173" s="57"/>
      <c r="BF173" s="57"/>
      <c r="BG173" s="57"/>
      <c r="BH173" s="57"/>
      <c r="BI173" s="57"/>
      <c r="BJ173" s="57"/>
      <c r="BK173" s="57"/>
      <c r="BL173" s="57"/>
      <c r="BM173" s="57"/>
      <c r="BN173" s="57"/>
      <c r="BO173" s="57"/>
      <c r="BP173" s="57"/>
      <c r="BQ173" s="57"/>
      <c r="BR173" s="57"/>
    </row>
    <row r="174" spans="1:70" x14ac:dyDescent="0.25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  <c r="AR174" s="57"/>
      <c r="AS174" s="57"/>
      <c r="AT174" s="57"/>
      <c r="AU174" s="57"/>
      <c r="AV174" s="57"/>
      <c r="AW174" s="57"/>
      <c r="AX174" s="57"/>
      <c r="AY174" s="57"/>
      <c r="AZ174" s="57"/>
      <c r="BA174" s="57"/>
      <c r="BB174" s="57"/>
      <c r="BC174" s="57"/>
      <c r="BD174" s="57"/>
      <c r="BE174" s="57"/>
      <c r="BF174" s="57"/>
      <c r="BG174" s="57"/>
      <c r="BH174" s="57"/>
      <c r="BI174" s="57"/>
      <c r="BJ174" s="57"/>
      <c r="BK174" s="57"/>
      <c r="BL174" s="57"/>
      <c r="BM174" s="57"/>
      <c r="BN174" s="57"/>
      <c r="BO174" s="57"/>
      <c r="BP174" s="57"/>
      <c r="BQ174" s="57"/>
      <c r="BR174" s="57"/>
    </row>
    <row r="175" spans="1:70" x14ac:dyDescent="0.25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  <c r="AR175" s="57"/>
      <c r="AS175" s="57"/>
      <c r="AT175" s="57"/>
      <c r="AU175" s="57"/>
      <c r="AV175" s="57"/>
      <c r="AW175" s="57"/>
      <c r="AX175" s="57"/>
      <c r="AY175" s="57"/>
      <c r="AZ175" s="57"/>
      <c r="BA175" s="57"/>
      <c r="BB175" s="57"/>
      <c r="BC175" s="57"/>
      <c r="BD175" s="57"/>
      <c r="BE175" s="57"/>
      <c r="BF175" s="57"/>
      <c r="BG175" s="57"/>
      <c r="BH175" s="57"/>
      <c r="BI175" s="57"/>
      <c r="BJ175" s="57"/>
      <c r="BK175" s="57"/>
      <c r="BL175" s="57"/>
      <c r="BM175" s="57"/>
      <c r="BN175" s="57"/>
      <c r="BO175" s="57"/>
      <c r="BP175" s="57"/>
      <c r="BQ175" s="57"/>
      <c r="BR175" s="57"/>
    </row>
    <row r="176" spans="1:70" x14ac:dyDescent="0.25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  <c r="AR176" s="57"/>
      <c r="AS176" s="57"/>
      <c r="AT176" s="57"/>
      <c r="AU176" s="57"/>
      <c r="AV176" s="57"/>
      <c r="AW176" s="57"/>
      <c r="AX176" s="57"/>
      <c r="AY176" s="57"/>
      <c r="AZ176" s="57"/>
      <c r="BA176" s="57"/>
      <c r="BB176" s="57"/>
      <c r="BC176" s="57"/>
      <c r="BD176" s="57"/>
      <c r="BE176" s="57"/>
      <c r="BF176" s="57"/>
      <c r="BG176" s="57"/>
      <c r="BH176" s="57"/>
      <c r="BI176" s="57"/>
      <c r="BJ176" s="57"/>
      <c r="BK176" s="57"/>
      <c r="BL176" s="57"/>
      <c r="BM176" s="57"/>
      <c r="BN176" s="57"/>
      <c r="BO176" s="57"/>
      <c r="BP176" s="57"/>
      <c r="BQ176" s="57"/>
      <c r="BR176" s="57"/>
    </row>
    <row r="177" spans="1:70" x14ac:dyDescent="0.25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  <c r="AR177" s="57"/>
      <c r="AS177" s="57"/>
      <c r="AT177" s="57"/>
      <c r="AU177" s="57"/>
      <c r="AV177" s="57"/>
      <c r="AW177" s="57"/>
      <c r="AX177" s="57"/>
      <c r="AY177" s="57"/>
      <c r="AZ177" s="57"/>
      <c r="BA177" s="57"/>
      <c r="BB177" s="57"/>
      <c r="BC177" s="57"/>
      <c r="BD177" s="57"/>
      <c r="BE177" s="57"/>
      <c r="BF177" s="57"/>
      <c r="BG177" s="57"/>
      <c r="BH177" s="57"/>
      <c r="BI177" s="57"/>
      <c r="BJ177" s="57"/>
      <c r="BK177" s="57"/>
      <c r="BL177" s="57"/>
      <c r="BM177" s="57"/>
      <c r="BN177" s="57"/>
      <c r="BO177" s="57"/>
      <c r="BP177" s="57"/>
      <c r="BQ177" s="57"/>
      <c r="BR177" s="57"/>
    </row>
    <row r="178" spans="1:70" x14ac:dyDescent="0.25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  <c r="AR178" s="57"/>
      <c r="AS178" s="57"/>
      <c r="AT178" s="57"/>
      <c r="AU178" s="57"/>
      <c r="AV178" s="57"/>
      <c r="AW178" s="57"/>
      <c r="AX178" s="57"/>
      <c r="AY178" s="57"/>
      <c r="AZ178" s="57"/>
      <c r="BA178" s="57"/>
      <c r="BB178" s="57"/>
      <c r="BC178" s="57"/>
      <c r="BD178" s="57"/>
      <c r="BE178" s="57"/>
      <c r="BF178" s="57"/>
      <c r="BG178" s="57"/>
      <c r="BH178" s="57"/>
      <c r="BI178" s="57"/>
      <c r="BJ178" s="57"/>
      <c r="BK178" s="57"/>
      <c r="BL178" s="57"/>
      <c r="BM178" s="57"/>
      <c r="BN178" s="57"/>
      <c r="BO178" s="57"/>
      <c r="BP178" s="57"/>
      <c r="BQ178" s="57"/>
      <c r="BR178" s="57"/>
    </row>
    <row r="179" spans="1:70" x14ac:dyDescent="0.25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  <c r="AR179" s="57"/>
      <c r="AS179" s="57"/>
      <c r="AT179" s="57"/>
      <c r="AU179" s="57"/>
      <c r="AV179" s="57"/>
      <c r="AW179" s="57"/>
      <c r="AX179" s="57"/>
      <c r="AY179" s="57"/>
      <c r="AZ179" s="57"/>
      <c r="BA179" s="57"/>
      <c r="BB179" s="57"/>
      <c r="BC179" s="57"/>
      <c r="BD179" s="57"/>
      <c r="BE179" s="57"/>
      <c r="BF179" s="57"/>
      <c r="BG179" s="57"/>
      <c r="BH179" s="57"/>
      <c r="BI179" s="57"/>
      <c r="BJ179" s="57"/>
      <c r="BK179" s="57"/>
      <c r="BL179" s="57"/>
      <c r="BM179" s="57"/>
      <c r="BN179" s="57"/>
      <c r="BO179" s="57"/>
      <c r="BP179" s="57"/>
      <c r="BQ179" s="57"/>
      <c r="BR179" s="57"/>
    </row>
    <row r="180" spans="1:70" x14ac:dyDescent="0.25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  <c r="AR180" s="57"/>
      <c r="AS180" s="57"/>
      <c r="AT180" s="57"/>
      <c r="AU180" s="57"/>
      <c r="AV180" s="57"/>
      <c r="AW180" s="57"/>
      <c r="AX180" s="57"/>
      <c r="AY180" s="57"/>
      <c r="AZ180" s="57"/>
      <c r="BA180" s="57"/>
      <c r="BB180" s="57"/>
      <c r="BC180" s="57"/>
      <c r="BD180" s="57"/>
      <c r="BE180" s="57"/>
      <c r="BF180" s="57"/>
      <c r="BG180" s="57"/>
      <c r="BH180" s="57"/>
      <c r="BI180" s="57"/>
      <c r="BJ180" s="57"/>
      <c r="BK180" s="57"/>
      <c r="BL180" s="57"/>
      <c r="BM180" s="57"/>
      <c r="BN180" s="57"/>
      <c r="BO180" s="57"/>
      <c r="BP180" s="57"/>
      <c r="BQ180" s="57"/>
      <c r="BR180" s="57"/>
    </row>
    <row r="181" spans="1:70" x14ac:dyDescent="0.25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  <c r="AR181" s="57"/>
      <c r="AS181" s="57"/>
      <c r="AT181" s="57"/>
      <c r="AU181" s="57"/>
      <c r="AV181" s="57"/>
      <c r="AW181" s="57"/>
      <c r="AX181" s="57"/>
      <c r="AY181" s="57"/>
      <c r="AZ181" s="57"/>
      <c r="BA181" s="57"/>
      <c r="BB181" s="57"/>
      <c r="BC181" s="57"/>
      <c r="BD181" s="57"/>
      <c r="BE181" s="57"/>
      <c r="BF181" s="57"/>
      <c r="BG181" s="57"/>
      <c r="BH181" s="57"/>
      <c r="BI181" s="57"/>
      <c r="BJ181" s="57"/>
      <c r="BK181" s="57"/>
      <c r="BL181" s="57"/>
      <c r="BM181" s="57"/>
      <c r="BN181" s="57"/>
      <c r="BO181" s="57"/>
      <c r="BP181" s="57"/>
      <c r="BQ181" s="57"/>
      <c r="BR181" s="57"/>
    </row>
    <row r="182" spans="1:70" x14ac:dyDescent="0.25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  <c r="AR182" s="57"/>
      <c r="AS182" s="57"/>
      <c r="AT182" s="57"/>
      <c r="AU182" s="57"/>
      <c r="AV182" s="57"/>
      <c r="AW182" s="57"/>
      <c r="AX182" s="57"/>
      <c r="AY182" s="57"/>
      <c r="AZ182" s="57"/>
      <c r="BA182" s="57"/>
      <c r="BB182" s="57"/>
      <c r="BC182" s="57"/>
      <c r="BD182" s="57"/>
      <c r="BE182" s="57"/>
      <c r="BF182" s="57"/>
      <c r="BG182" s="57"/>
      <c r="BH182" s="57"/>
      <c r="BI182" s="57"/>
      <c r="BJ182" s="57"/>
      <c r="BK182" s="57"/>
      <c r="BL182" s="57"/>
      <c r="BM182" s="57"/>
      <c r="BN182" s="57"/>
      <c r="BO182" s="57"/>
      <c r="BP182" s="57"/>
      <c r="BQ182" s="57"/>
      <c r="BR182" s="57"/>
    </row>
    <row r="183" spans="1:70" x14ac:dyDescent="0.25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  <c r="AR183" s="57"/>
      <c r="AS183" s="57"/>
      <c r="AT183" s="57"/>
      <c r="AU183" s="57"/>
      <c r="AV183" s="57"/>
      <c r="AW183" s="57"/>
      <c r="AX183" s="57"/>
      <c r="AY183" s="57"/>
      <c r="AZ183" s="57"/>
      <c r="BA183" s="57"/>
      <c r="BB183" s="57"/>
      <c r="BC183" s="57"/>
      <c r="BD183" s="57"/>
      <c r="BE183" s="57"/>
      <c r="BF183" s="57"/>
      <c r="BG183" s="57"/>
      <c r="BH183" s="57"/>
      <c r="BI183" s="57"/>
      <c r="BJ183" s="57"/>
      <c r="BK183" s="57"/>
      <c r="BL183" s="57"/>
      <c r="BM183" s="57"/>
      <c r="BN183" s="57"/>
      <c r="BO183" s="57"/>
      <c r="BP183" s="57"/>
      <c r="BQ183" s="57"/>
      <c r="BR183" s="57"/>
    </row>
    <row r="184" spans="1:70" x14ac:dyDescent="0.25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57"/>
      <c r="AY184" s="57"/>
      <c r="AZ184" s="57"/>
      <c r="BA184" s="57"/>
      <c r="BB184" s="57"/>
      <c r="BC184" s="57"/>
      <c r="BD184" s="57"/>
      <c r="BE184" s="57"/>
      <c r="BF184" s="57"/>
      <c r="BG184" s="57"/>
      <c r="BH184" s="57"/>
      <c r="BI184" s="57"/>
      <c r="BJ184" s="57"/>
      <c r="BK184" s="57"/>
      <c r="BL184" s="57"/>
      <c r="BM184" s="57"/>
      <c r="BN184" s="57"/>
      <c r="BO184" s="57"/>
      <c r="BP184" s="57"/>
      <c r="BQ184" s="57"/>
      <c r="BR184" s="57"/>
    </row>
    <row r="185" spans="1:70" x14ac:dyDescent="0.25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  <c r="AR185" s="57"/>
      <c r="AS185" s="57"/>
      <c r="AT185" s="57"/>
      <c r="AU185" s="57"/>
      <c r="AV185" s="57"/>
      <c r="AW185" s="57"/>
      <c r="AX185" s="57"/>
      <c r="AY185" s="57"/>
      <c r="AZ185" s="57"/>
      <c r="BA185" s="57"/>
      <c r="BB185" s="57"/>
      <c r="BC185" s="57"/>
      <c r="BD185" s="57"/>
      <c r="BE185" s="57"/>
      <c r="BF185" s="57"/>
      <c r="BG185" s="57"/>
      <c r="BH185" s="57"/>
      <c r="BI185" s="57"/>
      <c r="BJ185" s="57"/>
      <c r="BK185" s="57"/>
      <c r="BL185" s="57"/>
      <c r="BM185" s="57"/>
      <c r="BN185" s="57"/>
      <c r="BO185" s="57"/>
      <c r="BP185" s="57"/>
      <c r="BQ185" s="57"/>
      <c r="BR185" s="57"/>
    </row>
    <row r="186" spans="1:70" x14ac:dyDescent="0.25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  <c r="AR186" s="57"/>
      <c r="AS186" s="57"/>
      <c r="AT186" s="57"/>
      <c r="AU186" s="57"/>
      <c r="AV186" s="57"/>
      <c r="AW186" s="57"/>
      <c r="AX186" s="57"/>
      <c r="AY186" s="57"/>
      <c r="AZ186" s="57"/>
      <c r="BA186" s="57"/>
      <c r="BB186" s="57"/>
      <c r="BC186" s="57"/>
      <c r="BD186" s="57"/>
      <c r="BE186" s="57"/>
      <c r="BF186" s="57"/>
      <c r="BG186" s="57"/>
      <c r="BH186" s="57"/>
      <c r="BI186" s="57"/>
      <c r="BJ186" s="57"/>
      <c r="BK186" s="57"/>
      <c r="BL186" s="57"/>
      <c r="BM186" s="57"/>
      <c r="BN186" s="57"/>
      <c r="BO186" s="57"/>
      <c r="BP186" s="57"/>
      <c r="BQ186" s="57"/>
      <c r="BR186" s="57"/>
    </row>
    <row r="187" spans="1:70" x14ac:dyDescent="0.25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  <c r="AR187" s="57"/>
      <c r="AS187" s="57"/>
      <c r="AT187" s="57"/>
      <c r="AU187" s="57"/>
      <c r="AV187" s="57"/>
      <c r="AW187" s="57"/>
      <c r="AX187" s="57"/>
      <c r="AY187" s="57"/>
      <c r="AZ187" s="57"/>
      <c r="BA187" s="57"/>
      <c r="BB187" s="57"/>
      <c r="BC187" s="57"/>
      <c r="BD187" s="57"/>
      <c r="BE187" s="57"/>
      <c r="BF187" s="57"/>
      <c r="BG187" s="57"/>
      <c r="BH187" s="57"/>
      <c r="BI187" s="57"/>
      <c r="BJ187" s="57"/>
      <c r="BK187" s="57"/>
      <c r="BL187" s="57"/>
      <c r="BM187" s="57"/>
      <c r="BN187" s="57"/>
      <c r="BO187" s="57"/>
      <c r="BP187" s="57"/>
      <c r="BQ187" s="57"/>
      <c r="BR187" s="57"/>
    </row>
    <row r="188" spans="1:70" x14ac:dyDescent="0.25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  <c r="AR188" s="57"/>
      <c r="AS188" s="57"/>
      <c r="AT188" s="57"/>
      <c r="AU188" s="57"/>
      <c r="AV188" s="57"/>
      <c r="AW188" s="57"/>
      <c r="AX188" s="57"/>
      <c r="AY188" s="57"/>
      <c r="AZ188" s="57"/>
      <c r="BA188" s="57"/>
      <c r="BB188" s="57"/>
      <c r="BC188" s="57"/>
      <c r="BD188" s="57"/>
      <c r="BE188" s="57"/>
      <c r="BF188" s="57"/>
      <c r="BG188" s="57"/>
      <c r="BH188" s="57"/>
      <c r="BI188" s="57"/>
      <c r="BJ188" s="57"/>
      <c r="BK188" s="57"/>
      <c r="BL188" s="57"/>
      <c r="BM188" s="57"/>
      <c r="BN188" s="57"/>
      <c r="BO188" s="57"/>
      <c r="BP188" s="57"/>
      <c r="BQ188" s="57"/>
      <c r="BR188" s="57"/>
    </row>
    <row r="189" spans="1:70" x14ac:dyDescent="0.25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  <c r="AR189" s="57"/>
      <c r="AS189" s="57"/>
      <c r="AT189" s="57"/>
      <c r="AU189" s="57"/>
      <c r="AV189" s="57"/>
      <c r="AW189" s="57"/>
      <c r="AX189" s="57"/>
      <c r="AY189" s="57"/>
      <c r="AZ189" s="57"/>
      <c r="BA189" s="57"/>
      <c r="BB189" s="57"/>
      <c r="BC189" s="57"/>
      <c r="BD189" s="57"/>
      <c r="BE189" s="57"/>
      <c r="BF189" s="57"/>
      <c r="BG189" s="57"/>
      <c r="BH189" s="57"/>
      <c r="BI189" s="57"/>
      <c r="BJ189" s="57"/>
      <c r="BK189" s="57"/>
      <c r="BL189" s="57"/>
      <c r="BM189" s="57"/>
      <c r="BN189" s="57"/>
      <c r="BO189" s="57"/>
      <c r="BP189" s="57"/>
      <c r="BQ189" s="57"/>
      <c r="BR189" s="57"/>
    </row>
    <row r="190" spans="1:70" x14ac:dyDescent="0.25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  <c r="AR190" s="57"/>
      <c r="AS190" s="57"/>
      <c r="AT190" s="57"/>
      <c r="AU190" s="57"/>
      <c r="AV190" s="57"/>
      <c r="AW190" s="57"/>
      <c r="AX190" s="57"/>
      <c r="AY190" s="57"/>
      <c r="AZ190" s="57"/>
      <c r="BA190" s="57"/>
      <c r="BB190" s="57"/>
      <c r="BC190" s="57"/>
      <c r="BD190" s="57"/>
      <c r="BE190" s="57"/>
      <c r="BF190" s="57"/>
      <c r="BG190" s="57"/>
      <c r="BH190" s="57"/>
      <c r="BI190" s="57"/>
      <c r="BJ190" s="57"/>
      <c r="BK190" s="57"/>
      <c r="BL190" s="57"/>
      <c r="BM190" s="57"/>
      <c r="BN190" s="57"/>
      <c r="BO190" s="57"/>
      <c r="BP190" s="57"/>
      <c r="BQ190" s="57"/>
      <c r="BR190" s="57"/>
    </row>
    <row r="191" spans="1:70" x14ac:dyDescent="0.25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  <c r="AR191" s="57"/>
      <c r="AS191" s="57"/>
      <c r="AT191" s="57"/>
      <c r="AU191" s="57"/>
      <c r="AV191" s="57"/>
      <c r="AW191" s="57"/>
      <c r="AX191" s="57"/>
      <c r="AY191" s="57"/>
      <c r="AZ191" s="57"/>
      <c r="BA191" s="57"/>
      <c r="BB191" s="57"/>
      <c r="BC191" s="57"/>
      <c r="BD191" s="57"/>
      <c r="BE191" s="57"/>
      <c r="BF191" s="57"/>
      <c r="BG191" s="57"/>
      <c r="BH191" s="57"/>
      <c r="BI191" s="57"/>
      <c r="BJ191" s="57"/>
      <c r="BK191" s="57"/>
      <c r="BL191" s="57"/>
      <c r="BM191" s="57"/>
      <c r="BN191" s="57"/>
      <c r="BO191" s="57"/>
      <c r="BP191" s="57"/>
      <c r="BQ191" s="57"/>
      <c r="BR191" s="57"/>
    </row>
    <row r="192" spans="1:70" x14ac:dyDescent="0.25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  <c r="AR192" s="57"/>
      <c r="AS192" s="57"/>
      <c r="AT192" s="57"/>
      <c r="AU192" s="57"/>
      <c r="AV192" s="57"/>
      <c r="AW192" s="57"/>
      <c r="AX192" s="57"/>
      <c r="AY192" s="57"/>
      <c r="AZ192" s="57"/>
      <c r="BA192" s="57"/>
      <c r="BB192" s="57"/>
      <c r="BC192" s="57"/>
      <c r="BD192" s="57"/>
      <c r="BE192" s="57"/>
      <c r="BF192" s="57"/>
      <c r="BG192" s="57"/>
      <c r="BH192" s="57"/>
      <c r="BI192" s="57"/>
      <c r="BJ192" s="57"/>
      <c r="BK192" s="57"/>
      <c r="BL192" s="57"/>
      <c r="BM192" s="57"/>
      <c r="BN192" s="57"/>
      <c r="BO192" s="57"/>
      <c r="BP192" s="57"/>
      <c r="BQ192" s="57"/>
      <c r="BR192" s="57"/>
    </row>
    <row r="193" spans="1:70" x14ac:dyDescent="0.25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  <c r="AR193" s="57"/>
      <c r="AS193" s="57"/>
      <c r="AT193" s="57"/>
      <c r="AU193" s="57"/>
      <c r="AV193" s="57"/>
      <c r="AW193" s="57"/>
      <c r="AX193" s="57"/>
      <c r="AY193" s="57"/>
      <c r="AZ193" s="57"/>
      <c r="BA193" s="57"/>
      <c r="BB193" s="57"/>
      <c r="BC193" s="57"/>
      <c r="BD193" s="57"/>
      <c r="BE193" s="57"/>
      <c r="BF193" s="57"/>
      <c r="BG193" s="57"/>
      <c r="BH193" s="57"/>
      <c r="BI193" s="57"/>
      <c r="BJ193" s="57"/>
      <c r="BK193" s="57"/>
      <c r="BL193" s="57"/>
      <c r="BM193" s="57"/>
      <c r="BN193" s="57"/>
      <c r="BO193" s="57"/>
      <c r="BP193" s="57"/>
      <c r="BQ193" s="57"/>
      <c r="BR193" s="57"/>
    </row>
    <row r="194" spans="1:70" x14ac:dyDescent="0.25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  <c r="AR194" s="57"/>
      <c r="AS194" s="57"/>
      <c r="AT194" s="57"/>
      <c r="AU194" s="57"/>
      <c r="AV194" s="57"/>
      <c r="AW194" s="57"/>
      <c r="AX194" s="57"/>
      <c r="AY194" s="57"/>
      <c r="AZ194" s="57"/>
      <c r="BA194" s="57"/>
      <c r="BB194" s="57"/>
      <c r="BC194" s="57"/>
      <c r="BD194" s="57"/>
      <c r="BE194" s="57"/>
      <c r="BF194" s="57"/>
      <c r="BG194" s="57"/>
      <c r="BH194" s="57"/>
      <c r="BI194" s="57"/>
      <c r="BJ194" s="57"/>
      <c r="BK194" s="57"/>
      <c r="BL194" s="57"/>
      <c r="BM194" s="57"/>
      <c r="BN194" s="57"/>
      <c r="BO194" s="57"/>
      <c r="BP194" s="57"/>
      <c r="BQ194" s="57"/>
      <c r="BR194" s="57"/>
    </row>
    <row r="195" spans="1:70" x14ac:dyDescent="0.25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  <c r="AR195" s="57"/>
      <c r="AS195" s="57"/>
      <c r="AT195" s="57"/>
      <c r="AU195" s="57"/>
      <c r="AV195" s="57"/>
      <c r="AW195" s="57"/>
      <c r="AX195" s="57"/>
      <c r="AY195" s="57"/>
      <c r="AZ195" s="57"/>
      <c r="BA195" s="57"/>
      <c r="BB195" s="57"/>
      <c r="BC195" s="57"/>
      <c r="BD195" s="57"/>
      <c r="BE195" s="57"/>
      <c r="BF195" s="57"/>
      <c r="BG195" s="57"/>
      <c r="BH195" s="57"/>
      <c r="BI195" s="57"/>
      <c r="BJ195" s="57"/>
      <c r="BK195" s="57"/>
      <c r="BL195" s="57"/>
      <c r="BM195" s="57"/>
      <c r="BN195" s="57"/>
      <c r="BO195" s="57"/>
      <c r="BP195" s="57"/>
      <c r="BQ195" s="57"/>
      <c r="BR195" s="57"/>
    </row>
    <row r="196" spans="1:70" x14ac:dyDescent="0.25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  <c r="AR196" s="57"/>
      <c r="AS196" s="57"/>
      <c r="AT196" s="57"/>
      <c r="AU196" s="57"/>
      <c r="AV196" s="57"/>
      <c r="AW196" s="57"/>
      <c r="AX196" s="57"/>
      <c r="AY196" s="57"/>
      <c r="AZ196" s="57"/>
      <c r="BA196" s="57"/>
      <c r="BB196" s="57"/>
      <c r="BC196" s="57"/>
      <c r="BD196" s="57"/>
      <c r="BE196" s="57"/>
      <c r="BF196" s="57"/>
      <c r="BG196" s="57"/>
      <c r="BH196" s="57"/>
      <c r="BI196" s="57"/>
      <c r="BJ196" s="57"/>
      <c r="BK196" s="57"/>
      <c r="BL196" s="57"/>
      <c r="BM196" s="57"/>
      <c r="BN196" s="57"/>
      <c r="BO196" s="57"/>
      <c r="BP196" s="57"/>
      <c r="BQ196" s="57"/>
      <c r="BR196" s="57"/>
    </row>
    <row r="197" spans="1:70" x14ac:dyDescent="0.25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  <c r="AR197" s="57"/>
      <c r="AS197" s="57"/>
      <c r="AT197" s="57"/>
      <c r="AU197" s="57"/>
      <c r="AV197" s="57"/>
      <c r="AW197" s="57"/>
      <c r="AX197" s="57"/>
      <c r="AY197" s="57"/>
      <c r="AZ197" s="57"/>
      <c r="BA197" s="57"/>
      <c r="BB197" s="57"/>
      <c r="BC197" s="57"/>
      <c r="BD197" s="57"/>
      <c r="BE197" s="57"/>
      <c r="BF197" s="57"/>
      <c r="BG197" s="57"/>
      <c r="BH197" s="57"/>
      <c r="BI197" s="57"/>
      <c r="BJ197" s="57"/>
      <c r="BK197" s="57"/>
      <c r="BL197" s="57"/>
      <c r="BM197" s="57"/>
      <c r="BN197" s="57"/>
      <c r="BO197" s="57"/>
      <c r="BP197" s="57"/>
      <c r="BQ197" s="57"/>
      <c r="BR197" s="57"/>
    </row>
    <row r="198" spans="1:70" x14ac:dyDescent="0.25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  <c r="AR198" s="57"/>
      <c r="AS198" s="57"/>
      <c r="AT198" s="57"/>
      <c r="AU198" s="57"/>
      <c r="AV198" s="57"/>
      <c r="AW198" s="57"/>
      <c r="AX198" s="57"/>
      <c r="AY198" s="57"/>
      <c r="AZ198" s="57"/>
      <c r="BA198" s="57"/>
      <c r="BB198" s="57"/>
      <c r="BC198" s="57"/>
      <c r="BD198" s="57"/>
      <c r="BE198" s="57"/>
      <c r="BF198" s="57"/>
      <c r="BG198" s="57"/>
      <c r="BH198" s="57"/>
      <c r="BI198" s="57"/>
      <c r="BJ198" s="57"/>
      <c r="BK198" s="57"/>
      <c r="BL198" s="57"/>
      <c r="BM198" s="57"/>
      <c r="BN198" s="57"/>
      <c r="BO198" s="57"/>
      <c r="BP198" s="57"/>
      <c r="BQ198" s="57"/>
      <c r="BR198" s="57"/>
    </row>
    <row r="199" spans="1:70" x14ac:dyDescent="0.25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  <c r="AR199" s="57"/>
      <c r="AS199" s="57"/>
      <c r="AT199" s="57"/>
      <c r="AU199" s="57"/>
      <c r="AV199" s="57"/>
      <c r="AW199" s="57"/>
      <c r="AX199" s="57"/>
      <c r="AY199" s="57"/>
      <c r="AZ199" s="57"/>
      <c r="BA199" s="57"/>
      <c r="BB199" s="57"/>
      <c r="BC199" s="57"/>
      <c r="BD199" s="57"/>
      <c r="BE199" s="57"/>
      <c r="BF199" s="57"/>
      <c r="BG199" s="57"/>
      <c r="BH199" s="57"/>
      <c r="BI199" s="57"/>
      <c r="BJ199" s="57"/>
      <c r="BK199" s="57"/>
      <c r="BL199" s="57"/>
      <c r="BM199" s="57"/>
      <c r="BN199" s="57"/>
      <c r="BO199" s="57"/>
      <c r="BP199" s="57"/>
      <c r="BQ199" s="57"/>
      <c r="BR199" s="57"/>
    </row>
    <row r="200" spans="1:70" x14ac:dyDescent="0.25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  <c r="AR200" s="57"/>
      <c r="AS200" s="57"/>
      <c r="AT200" s="57"/>
      <c r="AU200" s="57"/>
      <c r="AV200" s="57"/>
      <c r="AW200" s="57"/>
      <c r="AX200" s="57"/>
      <c r="AY200" s="57"/>
      <c r="AZ200" s="57"/>
      <c r="BA200" s="57"/>
      <c r="BB200" s="57"/>
      <c r="BC200" s="57"/>
      <c r="BD200" s="57"/>
      <c r="BE200" s="57"/>
      <c r="BF200" s="57"/>
      <c r="BG200" s="57"/>
      <c r="BH200" s="57"/>
      <c r="BI200" s="57"/>
      <c r="BJ200" s="57"/>
      <c r="BK200" s="57"/>
      <c r="BL200" s="57"/>
      <c r="BM200" s="57"/>
      <c r="BN200" s="57"/>
      <c r="BO200" s="57"/>
      <c r="BP200" s="57"/>
      <c r="BQ200" s="57"/>
      <c r="BR200" s="57"/>
    </row>
    <row r="201" spans="1:70" x14ac:dyDescent="0.25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  <c r="AR201" s="57"/>
      <c r="AS201" s="57"/>
      <c r="AT201" s="57"/>
      <c r="AU201" s="57"/>
      <c r="AV201" s="57"/>
      <c r="AW201" s="57"/>
      <c r="AX201" s="57"/>
      <c r="AY201" s="57"/>
      <c r="AZ201" s="57"/>
      <c r="BA201" s="57"/>
      <c r="BB201" s="57"/>
      <c r="BC201" s="57"/>
      <c r="BD201" s="57"/>
      <c r="BE201" s="57"/>
      <c r="BF201" s="57"/>
      <c r="BG201" s="57"/>
      <c r="BH201" s="57"/>
      <c r="BI201" s="57"/>
      <c r="BJ201" s="57"/>
      <c r="BK201" s="57"/>
      <c r="BL201" s="57"/>
      <c r="BM201" s="57"/>
      <c r="BN201" s="57"/>
      <c r="BO201" s="57"/>
      <c r="BP201" s="57"/>
      <c r="BQ201" s="57"/>
      <c r="BR201" s="57"/>
    </row>
    <row r="202" spans="1:70" x14ac:dyDescent="0.25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  <c r="AR202" s="57"/>
      <c r="AS202" s="57"/>
      <c r="AT202" s="57"/>
      <c r="AU202" s="57"/>
      <c r="AV202" s="57"/>
      <c r="AW202" s="57"/>
      <c r="AX202" s="57"/>
      <c r="AY202" s="57"/>
      <c r="AZ202" s="57"/>
      <c r="BA202" s="57"/>
      <c r="BB202" s="57"/>
      <c r="BC202" s="57"/>
      <c r="BD202" s="57"/>
      <c r="BE202" s="57"/>
      <c r="BF202" s="57"/>
      <c r="BG202" s="57"/>
      <c r="BH202" s="57"/>
      <c r="BI202" s="57"/>
      <c r="BJ202" s="57"/>
      <c r="BK202" s="57"/>
      <c r="BL202" s="57"/>
      <c r="BM202" s="57"/>
      <c r="BN202" s="57"/>
      <c r="BO202" s="57"/>
      <c r="BP202" s="57"/>
      <c r="BQ202" s="57"/>
      <c r="BR202" s="57"/>
    </row>
    <row r="203" spans="1:70" x14ac:dyDescent="0.25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  <c r="AR203" s="57"/>
      <c r="AS203" s="57"/>
      <c r="AT203" s="57"/>
      <c r="AU203" s="57"/>
      <c r="AV203" s="57"/>
      <c r="AW203" s="57"/>
      <c r="AX203" s="57"/>
      <c r="AY203" s="57"/>
      <c r="AZ203" s="57"/>
      <c r="BA203" s="57"/>
      <c r="BB203" s="57"/>
      <c r="BC203" s="57"/>
      <c r="BD203" s="57"/>
      <c r="BE203" s="57"/>
      <c r="BF203" s="57"/>
      <c r="BG203" s="57"/>
      <c r="BH203" s="57"/>
      <c r="BI203" s="57"/>
      <c r="BJ203" s="57"/>
      <c r="BK203" s="57"/>
      <c r="BL203" s="57"/>
      <c r="BM203" s="57"/>
      <c r="BN203" s="57"/>
      <c r="BO203" s="57"/>
      <c r="BP203" s="57"/>
      <c r="BQ203" s="57"/>
      <c r="BR203" s="57"/>
    </row>
    <row r="204" spans="1:70" x14ac:dyDescent="0.25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  <c r="AR204" s="57"/>
      <c r="AS204" s="57"/>
      <c r="AT204" s="57"/>
      <c r="AU204" s="57"/>
      <c r="AV204" s="57"/>
      <c r="AW204" s="57"/>
      <c r="AX204" s="57"/>
      <c r="AY204" s="57"/>
      <c r="AZ204" s="57"/>
      <c r="BA204" s="57"/>
      <c r="BB204" s="57"/>
      <c r="BC204" s="57"/>
      <c r="BD204" s="57"/>
      <c r="BE204" s="57"/>
      <c r="BF204" s="57"/>
      <c r="BG204" s="57"/>
      <c r="BH204" s="57"/>
      <c r="BI204" s="57"/>
      <c r="BJ204" s="57"/>
      <c r="BK204" s="57"/>
      <c r="BL204" s="57"/>
      <c r="BM204" s="57"/>
      <c r="BN204" s="57"/>
      <c r="BO204" s="57"/>
      <c r="BP204" s="57"/>
      <c r="BQ204" s="57"/>
      <c r="BR204" s="57"/>
    </row>
    <row r="205" spans="1:70" x14ac:dyDescent="0.25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  <c r="AR205" s="57"/>
      <c r="AS205" s="57"/>
      <c r="AT205" s="57"/>
      <c r="AU205" s="57"/>
      <c r="AV205" s="57"/>
      <c r="AW205" s="57"/>
      <c r="AX205" s="57"/>
      <c r="AY205" s="57"/>
      <c r="AZ205" s="57"/>
      <c r="BA205" s="57"/>
      <c r="BB205" s="57"/>
      <c r="BC205" s="57"/>
      <c r="BD205" s="57"/>
      <c r="BE205" s="57"/>
      <c r="BF205" s="57"/>
      <c r="BG205" s="57"/>
      <c r="BH205" s="57"/>
      <c r="BI205" s="57"/>
      <c r="BJ205" s="57"/>
      <c r="BK205" s="57"/>
      <c r="BL205" s="57"/>
      <c r="BM205" s="57"/>
      <c r="BN205" s="57"/>
      <c r="BO205" s="57"/>
      <c r="BP205" s="57"/>
      <c r="BQ205" s="57"/>
      <c r="BR205" s="57"/>
    </row>
    <row r="206" spans="1:70" x14ac:dyDescent="0.25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  <c r="AR206" s="57"/>
      <c r="AS206" s="57"/>
      <c r="AT206" s="57"/>
      <c r="AU206" s="57"/>
      <c r="AV206" s="57"/>
      <c r="AW206" s="57"/>
      <c r="AX206" s="57"/>
      <c r="AY206" s="57"/>
      <c r="AZ206" s="57"/>
      <c r="BA206" s="57"/>
      <c r="BB206" s="57"/>
      <c r="BC206" s="57"/>
      <c r="BD206" s="57"/>
      <c r="BE206" s="57"/>
      <c r="BF206" s="57"/>
      <c r="BG206" s="57"/>
      <c r="BH206" s="57"/>
      <c r="BI206" s="57"/>
      <c r="BJ206" s="57"/>
      <c r="BK206" s="57"/>
      <c r="BL206" s="57"/>
      <c r="BM206" s="57"/>
      <c r="BN206" s="57"/>
      <c r="BO206" s="57"/>
      <c r="BP206" s="57"/>
      <c r="BQ206" s="57"/>
      <c r="BR206" s="57"/>
    </row>
    <row r="207" spans="1:70" x14ac:dyDescent="0.25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  <c r="AR207" s="57"/>
      <c r="AS207" s="57"/>
      <c r="AT207" s="57"/>
      <c r="AU207" s="57"/>
      <c r="AV207" s="57"/>
      <c r="AW207" s="57"/>
      <c r="AX207" s="57"/>
      <c r="AY207" s="57"/>
      <c r="AZ207" s="57"/>
      <c r="BA207" s="57"/>
      <c r="BB207" s="57"/>
      <c r="BC207" s="57"/>
      <c r="BD207" s="57"/>
      <c r="BE207" s="57"/>
      <c r="BF207" s="57"/>
      <c r="BG207" s="57"/>
      <c r="BH207" s="57"/>
      <c r="BI207" s="57"/>
      <c r="BJ207" s="57"/>
      <c r="BK207" s="57"/>
      <c r="BL207" s="57"/>
      <c r="BM207" s="57"/>
      <c r="BN207" s="57"/>
      <c r="BO207" s="57"/>
      <c r="BP207" s="57"/>
      <c r="BQ207" s="57"/>
      <c r="BR207" s="57"/>
    </row>
    <row r="208" spans="1:70" x14ac:dyDescent="0.25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  <c r="AR208" s="57"/>
      <c r="AS208" s="57"/>
      <c r="AT208" s="57"/>
      <c r="AU208" s="57"/>
      <c r="AV208" s="57"/>
      <c r="AW208" s="57"/>
      <c r="AX208" s="57"/>
      <c r="AY208" s="57"/>
      <c r="AZ208" s="57"/>
      <c r="BA208" s="57"/>
      <c r="BB208" s="57"/>
      <c r="BC208" s="57"/>
      <c r="BD208" s="57"/>
      <c r="BE208" s="57"/>
      <c r="BF208" s="57"/>
      <c r="BG208" s="57"/>
      <c r="BH208" s="57"/>
      <c r="BI208" s="57"/>
      <c r="BJ208" s="57"/>
      <c r="BK208" s="57"/>
      <c r="BL208" s="57"/>
      <c r="BM208" s="57"/>
      <c r="BN208" s="57"/>
      <c r="BO208" s="57"/>
      <c r="BP208" s="57"/>
      <c r="BQ208" s="57"/>
      <c r="BR208" s="57"/>
    </row>
    <row r="209" spans="1:70" x14ac:dyDescent="0.25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  <c r="AR209" s="57"/>
      <c r="AS209" s="57"/>
      <c r="AT209" s="57"/>
      <c r="AU209" s="57"/>
      <c r="AV209" s="57"/>
      <c r="AW209" s="57"/>
      <c r="AX209" s="57"/>
      <c r="AY209" s="57"/>
      <c r="AZ209" s="57"/>
      <c r="BA209" s="57"/>
      <c r="BB209" s="57"/>
      <c r="BC209" s="57"/>
      <c r="BD209" s="57"/>
      <c r="BE209" s="57"/>
      <c r="BF209" s="57"/>
      <c r="BG209" s="57"/>
      <c r="BH209" s="57"/>
      <c r="BI209" s="57"/>
      <c r="BJ209" s="57"/>
      <c r="BK209" s="57"/>
      <c r="BL209" s="57"/>
      <c r="BM209" s="57"/>
      <c r="BN209" s="57"/>
      <c r="BO209" s="57"/>
      <c r="BP209" s="57"/>
      <c r="BQ209" s="57"/>
      <c r="BR209" s="57"/>
    </row>
    <row r="210" spans="1:70" x14ac:dyDescent="0.25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  <c r="AR210" s="57"/>
      <c r="AS210" s="57"/>
      <c r="AT210" s="57"/>
      <c r="AU210" s="57"/>
      <c r="AV210" s="57"/>
      <c r="AW210" s="57"/>
      <c r="AX210" s="57"/>
      <c r="AY210" s="57"/>
      <c r="AZ210" s="57"/>
      <c r="BA210" s="57"/>
      <c r="BB210" s="57"/>
      <c r="BC210" s="57"/>
      <c r="BD210" s="57"/>
      <c r="BE210" s="57"/>
      <c r="BF210" s="57"/>
      <c r="BG210" s="57"/>
      <c r="BH210" s="57"/>
      <c r="BI210" s="57"/>
      <c r="BJ210" s="57"/>
      <c r="BK210" s="57"/>
      <c r="BL210" s="57"/>
      <c r="BM210" s="57"/>
      <c r="BN210" s="57"/>
      <c r="BO210" s="57"/>
      <c r="BP210" s="57"/>
      <c r="BQ210" s="57"/>
      <c r="BR210" s="57"/>
    </row>
    <row r="211" spans="1:70" x14ac:dyDescent="0.25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  <c r="AR211" s="57"/>
      <c r="AS211" s="57"/>
      <c r="AT211" s="57"/>
      <c r="AU211" s="57"/>
      <c r="AV211" s="57"/>
      <c r="AW211" s="57"/>
      <c r="AX211" s="57"/>
      <c r="AY211" s="57"/>
      <c r="AZ211" s="57"/>
      <c r="BA211" s="57"/>
      <c r="BB211" s="57"/>
      <c r="BC211" s="57"/>
      <c r="BD211" s="57"/>
      <c r="BE211" s="57"/>
      <c r="BF211" s="57"/>
      <c r="BG211" s="57"/>
      <c r="BH211" s="57"/>
      <c r="BI211" s="57"/>
      <c r="BJ211" s="57"/>
      <c r="BK211" s="57"/>
      <c r="BL211" s="57"/>
      <c r="BM211" s="57"/>
      <c r="BN211" s="57"/>
      <c r="BO211" s="57"/>
      <c r="BP211" s="57"/>
      <c r="BQ211" s="57"/>
      <c r="BR211" s="57"/>
    </row>
    <row r="212" spans="1:70" x14ac:dyDescent="0.25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  <c r="AR212" s="57"/>
      <c r="AS212" s="57"/>
      <c r="AT212" s="57"/>
      <c r="AU212" s="57"/>
      <c r="AV212" s="57"/>
      <c r="AW212" s="57"/>
      <c r="AX212" s="57"/>
      <c r="AY212" s="57"/>
      <c r="AZ212" s="57"/>
      <c r="BA212" s="57"/>
      <c r="BB212" s="57"/>
      <c r="BC212" s="57"/>
      <c r="BD212" s="57"/>
      <c r="BE212" s="57"/>
      <c r="BF212" s="57"/>
      <c r="BG212" s="57"/>
      <c r="BH212" s="57"/>
      <c r="BI212" s="57"/>
      <c r="BJ212" s="57"/>
      <c r="BK212" s="57"/>
      <c r="BL212" s="57"/>
      <c r="BM212" s="57"/>
      <c r="BN212" s="57"/>
      <c r="BO212" s="57"/>
      <c r="BP212" s="57"/>
      <c r="BQ212" s="57"/>
      <c r="BR212" s="57"/>
    </row>
    <row r="213" spans="1:70" x14ac:dyDescent="0.25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  <c r="AR213" s="57"/>
      <c r="AS213" s="57"/>
      <c r="AT213" s="57"/>
      <c r="AU213" s="57"/>
      <c r="AV213" s="57"/>
      <c r="AW213" s="57"/>
      <c r="AX213" s="57"/>
      <c r="AY213" s="57"/>
      <c r="AZ213" s="57"/>
      <c r="BA213" s="57"/>
      <c r="BB213" s="57"/>
      <c r="BC213" s="57"/>
      <c r="BD213" s="57"/>
      <c r="BE213" s="57"/>
      <c r="BF213" s="57"/>
      <c r="BG213" s="57"/>
      <c r="BH213" s="57"/>
      <c r="BI213" s="57"/>
      <c r="BJ213" s="57"/>
      <c r="BK213" s="57"/>
      <c r="BL213" s="57"/>
      <c r="BM213" s="57"/>
      <c r="BN213" s="57"/>
      <c r="BO213" s="57"/>
      <c r="BP213" s="57"/>
      <c r="BQ213" s="57"/>
      <c r="BR213" s="57"/>
    </row>
    <row r="214" spans="1:70" x14ac:dyDescent="0.25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  <c r="AR214" s="57"/>
      <c r="AS214" s="57"/>
      <c r="AT214" s="57"/>
      <c r="AU214" s="57"/>
      <c r="AV214" s="57"/>
      <c r="AW214" s="57"/>
      <c r="AX214" s="57"/>
      <c r="AY214" s="57"/>
      <c r="AZ214" s="57"/>
      <c r="BA214" s="57"/>
      <c r="BB214" s="57"/>
      <c r="BC214" s="57"/>
      <c r="BD214" s="57"/>
      <c r="BE214" s="57"/>
      <c r="BF214" s="57"/>
      <c r="BG214" s="57"/>
      <c r="BH214" s="57"/>
      <c r="BI214" s="57"/>
      <c r="BJ214" s="57"/>
      <c r="BK214" s="57"/>
      <c r="BL214" s="57"/>
      <c r="BM214" s="57"/>
      <c r="BN214" s="57"/>
      <c r="BO214" s="57"/>
      <c r="BP214" s="57"/>
      <c r="BQ214" s="57"/>
      <c r="BR214" s="57"/>
    </row>
    <row r="215" spans="1:70" x14ac:dyDescent="0.25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  <c r="AR215" s="57"/>
      <c r="AS215" s="57"/>
      <c r="AT215" s="57"/>
      <c r="AU215" s="57"/>
      <c r="AV215" s="57"/>
      <c r="AW215" s="57"/>
      <c r="AX215" s="57"/>
      <c r="AY215" s="57"/>
      <c r="AZ215" s="57"/>
      <c r="BA215" s="57"/>
      <c r="BB215" s="57"/>
      <c r="BC215" s="57"/>
      <c r="BD215" s="57"/>
      <c r="BE215" s="57"/>
      <c r="BF215" s="57"/>
      <c r="BG215" s="57"/>
      <c r="BH215" s="57"/>
      <c r="BI215" s="57"/>
      <c r="BJ215" s="57"/>
      <c r="BK215" s="57"/>
      <c r="BL215" s="57"/>
      <c r="BM215" s="57"/>
      <c r="BN215" s="57"/>
      <c r="BO215" s="57"/>
      <c r="BP215" s="57"/>
      <c r="BQ215" s="57"/>
      <c r="BR215" s="57"/>
    </row>
    <row r="216" spans="1:70" x14ac:dyDescent="0.25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  <c r="AR216" s="57"/>
      <c r="AS216" s="57"/>
      <c r="AT216" s="57"/>
      <c r="AU216" s="57"/>
      <c r="AV216" s="57"/>
      <c r="AW216" s="57"/>
      <c r="AX216" s="57"/>
      <c r="AY216" s="57"/>
      <c r="AZ216" s="57"/>
      <c r="BA216" s="57"/>
      <c r="BB216" s="57"/>
      <c r="BC216" s="57"/>
      <c r="BD216" s="57"/>
      <c r="BE216" s="57"/>
      <c r="BF216" s="57"/>
      <c r="BG216" s="57"/>
      <c r="BH216" s="57"/>
      <c r="BI216" s="57"/>
      <c r="BJ216" s="57"/>
      <c r="BK216" s="57"/>
      <c r="BL216" s="57"/>
      <c r="BM216" s="57"/>
      <c r="BN216" s="57"/>
      <c r="BO216" s="57"/>
      <c r="BP216" s="57"/>
      <c r="BQ216" s="57"/>
      <c r="BR216" s="57"/>
    </row>
    <row r="217" spans="1:70" x14ac:dyDescent="0.25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  <c r="AR217" s="57"/>
      <c r="AS217" s="57"/>
      <c r="AT217" s="57"/>
      <c r="AU217" s="57"/>
      <c r="AV217" s="57"/>
      <c r="AW217" s="57"/>
      <c r="AX217" s="57"/>
      <c r="AY217" s="57"/>
      <c r="AZ217" s="57"/>
      <c r="BA217" s="57"/>
      <c r="BB217" s="57"/>
      <c r="BC217" s="57"/>
      <c r="BD217" s="57"/>
      <c r="BE217" s="57"/>
      <c r="BF217" s="57"/>
      <c r="BG217" s="57"/>
      <c r="BH217" s="57"/>
      <c r="BI217" s="57"/>
      <c r="BJ217" s="57"/>
      <c r="BK217" s="57"/>
      <c r="BL217" s="57"/>
      <c r="BM217" s="57"/>
      <c r="BN217" s="57"/>
      <c r="BO217" s="57"/>
      <c r="BP217" s="57"/>
      <c r="BQ217" s="57"/>
      <c r="BR217" s="57"/>
    </row>
    <row r="218" spans="1:70" x14ac:dyDescent="0.25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  <c r="AR218" s="57"/>
      <c r="AS218" s="57"/>
      <c r="AT218" s="57"/>
      <c r="AU218" s="57"/>
      <c r="AV218" s="57"/>
      <c r="AW218" s="57"/>
      <c r="AX218" s="57"/>
      <c r="AY218" s="57"/>
      <c r="AZ218" s="57"/>
      <c r="BA218" s="57"/>
      <c r="BB218" s="57"/>
      <c r="BC218" s="57"/>
      <c r="BD218" s="57"/>
      <c r="BE218" s="57"/>
      <c r="BF218" s="57"/>
      <c r="BG218" s="57"/>
      <c r="BH218" s="57"/>
      <c r="BI218" s="57"/>
      <c r="BJ218" s="57"/>
      <c r="BK218" s="57"/>
      <c r="BL218" s="57"/>
      <c r="BM218" s="57"/>
      <c r="BN218" s="57"/>
      <c r="BO218" s="57"/>
      <c r="BP218" s="57"/>
      <c r="BQ218" s="57"/>
      <c r="BR218" s="57"/>
    </row>
    <row r="219" spans="1:70" x14ac:dyDescent="0.25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  <c r="AR219" s="57"/>
      <c r="AS219" s="57"/>
      <c r="AT219" s="57"/>
      <c r="AU219" s="57"/>
      <c r="AV219" s="57"/>
      <c r="AW219" s="57"/>
      <c r="AX219" s="57"/>
      <c r="AY219" s="57"/>
      <c r="AZ219" s="57"/>
      <c r="BA219" s="57"/>
      <c r="BB219" s="57"/>
      <c r="BC219" s="57"/>
      <c r="BD219" s="57"/>
      <c r="BE219" s="57"/>
      <c r="BF219" s="57"/>
      <c r="BG219" s="57"/>
      <c r="BH219" s="57"/>
      <c r="BI219" s="57"/>
      <c r="BJ219" s="57"/>
      <c r="BK219" s="57"/>
      <c r="BL219" s="57"/>
      <c r="BM219" s="57"/>
      <c r="BN219" s="57"/>
      <c r="BO219" s="57"/>
      <c r="BP219" s="57"/>
      <c r="BQ219" s="57"/>
      <c r="BR219" s="57"/>
    </row>
    <row r="220" spans="1:70" x14ac:dyDescent="0.25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  <c r="AR220" s="57"/>
      <c r="AS220" s="57"/>
      <c r="AT220" s="57"/>
      <c r="AU220" s="57"/>
      <c r="AV220" s="57"/>
      <c r="AW220" s="57"/>
      <c r="AX220" s="57"/>
      <c r="AY220" s="57"/>
      <c r="AZ220" s="57"/>
      <c r="BA220" s="57"/>
      <c r="BB220" s="57"/>
      <c r="BC220" s="57"/>
      <c r="BD220" s="57"/>
      <c r="BE220" s="57"/>
      <c r="BF220" s="57"/>
      <c r="BG220" s="57"/>
      <c r="BH220" s="57"/>
      <c r="BI220" s="57"/>
      <c r="BJ220" s="57"/>
      <c r="BK220" s="57"/>
      <c r="BL220" s="57"/>
      <c r="BM220" s="57"/>
      <c r="BN220" s="57"/>
      <c r="BO220" s="57"/>
      <c r="BP220" s="57"/>
      <c r="BQ220" s="57"/>
      <c r="BR220" s="57"/>
    </row>
    <row r="221" spans="1:70" x14ac:dyDescent="0.25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  <c r="AR221" s="57"/>
      <c r="AS221" s="57"/>
      <c r="AT221" s="57"/>
      <c r="AU221" s="57"/>
      <c r="AV221" s="57"/>
      <c r="AW221" s="57"/>
      <c r="AX221" s="57"/>
      <c r="AY221" s="57"/>
      <c r="AZ221" s="57"/>
      <c r="BA221" s="57"/>
      <c r="BB221" s="57"/>
      <c r="BC221" s="57"/>
      <c r="BD221" s="57"/>
      <c r="BE221" s="57"/>
      <c r="BF221" s="57"/>
      <c r="BG221" s="57"/>
      <c r="BH221" s="57"/>
      <c r="BI221" s="57"/>
      <c r="BJ221" s="57"/>
      <c r="BK221" s="57"/>
      <c r="BL221" s="57"/>
      <c r="BM221" s="57"/>
      <c r="BN221" s="57"/>
      <c r="BO221" s="57"/>
      <c r="BP221" s="57"/>
      <c r="BQ221" s="57"/>
      <c r="BR221" s="57"/>
    </row>
    <row r="222" spans="1:70" x14ac:dyDescent="0.25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  <c r="AR222" s="57"/>
      <c r="AS222" s="57"/>
      <c r="AT222" s="57"/>
      <c r="AU222" s="57"/>
      <c r="AV222" s="57"/>
      <c r="AW222" s="57"/>
      <c r="AX222" s="57"/>
      <c r="AY222" s="57"/>
      <c r="AZ222" s="57"/>
      <c r="BA222" s="57"/>
      <c r="BB222" s="57"/>
      <c r="BC222" s="57"/>
      <c r="BD222" s="57"/>
      <c r="BE222" s="57"/>
      <c r="BF222" s="57"/>
      <c r="BG222" s="57"/>
      <c r="BH222" s="57"/>
      <c r="BI222" s="57"/>
      <c r="BJ222" s="57"/>
      <c r="BK222" s="57"/>
      <c r="BL222" s="57"/>
      <c r="BM222" s="57"/>
      <c r="BN222" s="57"/>
      <c r="BO222" s="57"/>
      <c r="BP222" s="57"/>
      <c r="BQ222" s="57"/>
      <c r="BR222" s="57"/>
    </row>
    <row r="223" spans="1:70" x14ac:dyDescent="0.25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  <c r="AR223" s="57"/>
      <c r="AS223" s="57"/>
      <c r="AT223" s="57"/>
      <c r="AU223" s="57"/>
      <c r="AV223" s="57"/>
      <c r="AW223" s="57"/>
      <c r="AX223" s="57"/>
      <c r="AY223" s="57"/>
      <c r="AZ223" s="57"/>
      <c r="BA223" s="57"/>
      <c r="BB223" s="57"/>
      <c r="BC223" s="57"/>
      <c r="BD223" s="57"/>
      <c r="BE223" s="57"/>
      <c r="BF223" s="57"/>
      <c r="BG223" s="57"/>
      <c r="BH223" s="57"/>
      <c r="BI223" s="57"/>
      <c r="BJ223" s="57"/>
      <c r="BK223" s="57"/>
      <c r="BL223" s="57"/>
      <c r="BM223" s="57"/>
      <c r="BN223" s="57"/>
      <c r="BO223" s="57"/>
      <c r="BP223" s="57"/>
      <c r="BQ223" s="57"/>
      <c r="BR223" s="57"/>
    </row>
    <row r="224" spans="1:70" x14ac:dyDescent="0.25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  <c r="AR224" s="57"/>
      <c r="AS224" s="57"/>
      <c r="AT224" s="57"/>
      <c r="AU224" s="57"/>
      <c r="AV224" s="57"/>
      <c r="AW224" s="57"/>
      <c r="AX224" s="57"/>
      <c r="AY224" s="57"/>
      <c r="AZ224" s="57"/>
      <c r="BA224" s="57"/>
      <c r="BB224" s="57"/>
      <c r="BC224" s="57"/>
      <c r="BD224" s="57"/>
      <c r="BE224" s="57"/>
      <c r="BF224" s="57"/>
      <c r="BG224" s="57"/>
      <c r="BH224" s="57"/>
      <c r="BI224" s="57"/>
      <c r="BJ224" s="57"/>
      <c r="BK224" s="57"/>
      <c r="BL224" s="57"/>
      <c r="BM224" s="57"/>
      <c r="BN224" s="57"/>
      <c r="BO224" s="57"/>
      <c r="BP224" s="57"/>
      <c r="BQ224" s="57"/>
      <c r="BR224" s="57"/>
    </row>
    <row r="225" spans="1:70" x14ac:dyDescent="0.25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  <c r="AR225" s="57"/>
      <c r="AS225" s="57"/>
      <c r="AT225" s="57"/>
      <c r="AU225" s="57"/>
      <c r="AV225" s="57"/>
      <c r="AW225" s="57"/>
      <c r="AX225" s="57"/>
      <c r="AY225" s="57"/>
      <c r="AZ225" s="57"/>
      <c r="BA225" s="57"/>
      <c r="BB225" s="57"/>
      <c r="BC225" s="57"/>
      <c r="BD225" s="57"/>
      <c r="BE225" s="57"/>
      <c r="BF225" s="57"/>
      <c r="BG225" s="57"/>
      <c r="BH225" s="57"/>
      <c r="BI225" s="57"/>
      <c r="BJ225" s="57"/>
      <c r="BK225" s="57"/>
      <c r="BL225" s="57"/>
      <c r="BM225" s="57"/>
      <c r="BN225" s="57"/>
      <c r="BO225" s="57"/>
      <c r="BP225" s="57"/>
      <c r="BQ225" s="57"/>
      <c r="BR225" s="57"/>
    </row>
    <row r="226" spans="1:70" x14ac:dyDescent="0.25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  <c r="AR226" s="57"/>
      <c r="AS226" s="57"/>
      <c r="AT226" s="57"/>
      <c r="AU226" s="57"/>
      <c r="AV226" s="57"/>
      <c r="AW226" s="57"/>
      <c r="AX226" s="57"/>
      <c r="AY226" s="57"/>
      <c r="AZ226" s="57"/>
      <c r="BA226" s="57"/>
      <c r="BB226" s="57"/>
      <c r="BC226" s="57"/>
      <c r="BD226" s="57"/>
      <c r="BE226" s="57"/>
      <c r="BF226" s="57"/>
      <c r="BG226" s="57"/>
      <c r="BH226" s="57"/>
      <c r="BI226" s="57"/>
      <c r="BJ226" s="57"/>
      <c r="BK226" s="57"/>
      <c r="BL226" s="57"/>
      <c r="BM226" s="57"/>
      <c r="BN226" s="57"/>
      <c r="BO226" s="57"/>
      <c r="BP226" s="57"/>
      <c r="BQ226" s="57"/>
      <c r="BR226" s="57"/>
    </row>
    <row r="227" spans="1:70" x14ac:dyDescent="0.25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7"/>
      <c r="AR227" s="57"/>
      <c r="AS227" s="57"/>
      <c r="AT227" s="57"/>
      <c r="AU227" s="57"/>
      <c r="AV227" s="57"/>
      <c r="AW227" s="57"/>
      <c r="AX227" s="57"/>
      <c r="AY227" s="57"/>
      <c r="AZ227" s="57"/>
      <c r="BA227" s="57"/>
      <c r="BB227" s="57"/>
      <c r="BC227" s="57"/>
      <c r="BD227" s="57"/>
      <c r="BE227" s="57"/>
      <c r="BF227" s="57"/>
      <c r="BG227" s="57"/>
      <c r="BH227" s="57"/>
      <c r="BI227" s="57"/>
      <c r="BJ227" s="57"/>
      <c r="BK227" s="57"/>
      <c r="BL227" s="57"/>
      <c r="BM227" s="57"/>
      <c r="BN227" s="57"/>
      <c r="BO227" s="57"/>
      <c r="BP227" s="57"/>
      <c r="BQ227" s="57"/>
      <c r="BR227" s="57"/>
    </row>
    <row r="228" spans="1:70" x14ac:dyDescent="0.25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7"/>
      <c r="AR228" s="57"/>
      <c r="AS228" s="57"/>
      <c r="AT228" s="57"/>
      <c r="AU228" s="57"/>
      <c r="AV228" s="57"/>
      <c r="AW228" s="57"/>
      <c r="AX228" s="57"/>
      <c r="AY228" s="57"/>
      <c r="AZ228" s="57"/>
      <c r="BA228" s="57"/>
      <c r="BB228" s="57"/>
      <c r="BC228" s="57"/>
      <c r="BD228" s="57"/>
      <c r="BE228" s="57"/>
      <c r="BF228" s="57"/>
      <c r="BG228" s="57"/>
      <c r="BH228" s="57"/>
      <c r="BI228" s="57"/>
      <c r="BJ228" s="57"/>
      <c r="BK228" s="57"/>
      <c r="BL228" s="57"/>
      <c r="BM228" s="57"/>
      <c r="BN228" s="57"/>
      <c r="BO228" s="57"/>
      <c r="BP228" s="57"/>
      <c r="BQ228" s="57"/>
      <c r="BR228" s="57"/>
    </row>
    <row r="229" spans="1:70" x14ac:dyDescent="0.25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7"/>
      <c r="AR229" s="57"/>
      <c r="AS229" s="57"/>
      <c r="AT229" s="57"/>
      <c r="AU229" s="57"/>
      <c r="AV229" s="57"/>
      <c r="AW229" s="57"/>
      <c r="AX229" s="57"/>
      <c r="AY229" s="57"/>
      <c r="AZ229" s="57"/>
      <c r="BA229" s="57"/>
      <c r="BB229" s="57"/>
      <c r="BC229" s="57"/>
      <c r="BD229" s="57"/>
      <c r="BE229" s="57"/>
      <c r="BF229" s="57"/>
      <c r="BG229" s="57"/>
      <c r="BH229" s="57"/>
      <c r="BI229" s="57"/>
      <c r="BJ229" s="57"/>
      <c r="BK229" s="57"/>
      <c r="BL229" s="57"/>
      <c r="BM229" s="57"/>
      <c r="BN229" s="57"/>
      <c r="BO229" s="57"/>
      <c r="BP229" s="57"/>
      <c r="BQ229" s="57"/>
      <c r="BR229" s="57"/>
    </row>
    <row r="230" spans="1:70" x14ac:dyDescent="0.25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7"/>
      <c r="AR230" s="57"/>
      <c r="AS230" s="57"/>
      <c r="AT230" s="57"/>
      <c r="AU230" s="57"/>
      <c r="AV230" s="57"/>
      <c r="AW230" s="57"/>
      <c r="AX230" s="57"/>
      <c r="AY230" s="57"/>
      <c r="AZ230" s="57"/>
      <c r="BA230" s="57"/>
      <c r="BB230" s="57"/>
      <c r="BC230" s="57"/>
      <c r="BD230" s="57"/>
      <c r="BE230" s="57"/>
      <c r="BF230" s="57"/>
      <c r="BG230" s="57"/>
      <c r="BH230" s="57"/>
      <c r="BI230" s="57"/>
      <c r="BJ230" s="57"/>
      <c r="BK230" s="57"/>
      <c r="BL230" s="57"/>
      <c r="BM230" s="57"/>
      <c r="BN230" s="57"/>
      <c r="BO230" s="57"/>
      <c r="BP230" s="57"/>
      <c r="BQ230" s="57"/>
      <c r="BR230" s="57"/>
    </row>
    <row r="231" spans="1:70" x14ac:dyDescent="0.25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7"/>
      <c r="AR231" s="57"/>
      <c r="AS231" s="57"/>
      <c r="AT231" s="57"/>
      <c r="AU231" s="57"/>
      <c r="AV231" s="57"/>
      <c r="AW231" s="57"/>
      <c r="AX231" s="57"/>
      <c r="AY231" s="57"/>
      <c r="AZ231" s="57"/>
      <c r="BA231" s="57"/>
      <c r="BB231" s="57"/>
      <c r="BC231" s="57"/>
      <c r="BD231" s="57"/>
      <c r="BE231" s="57"/>
      <c r="BF231" s="57"/>
      <c r="BG231" s="57"/>
      <c r="BH231" s="57"/>
      <c r="BI231" s="57"/>
      <c r="BJ231" s="57"/>
      <c r="BK231" s="57"/>
      <c r="BL231" s="57"/>
      <c r="BM231" s="57"/>
      <c r="BN231" s="57"/>
      <c r="BO231" s="57"/>
      <c r="BP231" s="57"/>
      <c r="BQ231" s="57"/>
      <c r="BR231" s="57"/>
    </row>
    <row r="232" spans="1:70" x14ac:dyDescent="0.25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7"/>
      <c r="AR232" s="57"/>
      <c r="AS232" s="57"/>
      <c r="AT232" s="57"/>
      <c r="AU232" s="57"/>
      <c r="AV232" s="57"/>
      <c r="AW232" s="57"/>
      <c r="AX232" s="57"/>
      <c r="AY232" s="57"/>
      <c r="AZ232" s="57"/>
      <c r="BA232" s="57"/>
      <c r="BB232" s="57"/>
      <c r="BC232" s="57"/>
      <c r="BD232" s="57"/>
      <c r="BE232" s="57"/>
      <c r="BF232" s="57"/>
      <c r="BG232" s="57"/>
      <c r="BH232" s="57"/>
      <c r="BI232" s="57"/>
      <c r="BJ232" s="57"/>
      <c r="BK232" s="57"/>
      <c r="BL232" s="57"/>
      <c r="BM232" s="57"/>
      <c r="BN232" s="57"/>
      <c r="BO232" s="57"/>
      <c r="BP232" s="57"/>
      <c r="BQ232" s="57"/>
      <c r="BR232" s="57"/>
    </row>
    <row r="233" spans="1:70" x14ac:dyDescent="0.25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7"/>
      <c r="AR233" s="57"/>
      <c r="AS233" s="57"/>
      <c r="AT233" s="57"/>
      <c r="AU233" s="57"/>
      <c r="AV233" s="57"/>
      <c r="AW233" s="57"/>
      <c r="AX233" s="57"/>
      <c r="AY233" s="57"/>
      <c r="AZ233" s="57"/>
      <c r="BA233" s="57"/>
      <c r="BB233" s="57"/>
      <c r="BC233" s="57"/>
      <c r="BD233" s="57"/>
      <c r="BE233" s="57"/>
      <c r="BF233" s="57"/>
      <c r="BG233" s="57"/>
      <c r="BH233" s="57"/>
      <c r="BI233" s="57"/>
      <c r="BJ233" s="57"/>
      <c r="BK233" s="57"/>
      <c r="BL233" s="57"/>
      <c r="BM233" s="57"/>
      <c r="BN233" s="57"/>
      <c r="BO233" s="57"/>
      <c r="BP233" s="57"/>
      <c r="BQ233" s="57"/>
      <c r="BR233" s="57"/>
    </row>
    <row r="234" spans="1:70" x14ac:dyDescent="0.25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7"/>
      <c r="AR234" s="57"/>
      <c r="AS234" s="57"/>
      <c r="AT234" s="57"/>
      <c r="AU234" s="57"/>
      <c r="AV234" s="57"/>
      <c r="AW234" s="57"/>
      <c r="AX234" s="57"/>
      <c r="AY234" s="57"/>
      <c r="AZ234" s="57"/>
      <c r="BA234" s="57"/>
      <c r="BB234" s="57"/>
      <c r="BC234" s="57"/>
      <c r="BD234" s="57"/>
      <c r="BE234" s="57"/>
      <c r="BF234" s="57"/>
      <c r="BG234" s="57"/>
      <c r="BH234" s="57"/>
      <c r="BI234" s="57"/>
      <c r="BJ234" s="57"/>
      <c r="BK234" s="57"/>
      <c r="BL234" s="57"/>
      <c r="BM234" s="57"/>
      <c r="BN234" s="57"/>
      <c r="BO234" s="57"/>
      <c r="BP234" s="57"/>
      <c r="BQ234" s="57"/>
      <c r="BR234" s="57"/>
    </row>
    <row r="235" spans="1:70" x14ac:dyDescent="0.25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7"/>
      <c r="AR235" s="57"/>
      <c r="AS235" s="57"/>
      <c r="AT235" s="57"/>
      <c r="AU235" s="57"/>
      <c r="AV235" s="57"/>
      <c r="AW235" s="57"/>
      <c r="AX235" s="57"/>
      <c r="AY235" s="57"/>
      <c r="AZ235" s="57"/>
      <c r="BA235" s="57"/>
      <c r="BB235" s="57"/>
      <c r="BC235" s="57"/>
      <c r="BD235" s="57"/>
      <c r="BE235" s="57"/>
      <c r="BF235" s="57"/>
      <c r="BG235" s="57"/>
      <c r="BH235" s="57"/>
      <c r="BI235" s="57"/>
      <c r="BJ235" s="57"/>
      <c r="BK235" s="57"/>
      <c r="BL235" s="57"/>
      <c r="BM235" s="57"/>
      <c r="BN235" s="57"/>
      <c r="BO235" s="57"/>
      <c r="BP235" s="57"/>
      <c r="BQ235" s="57"/>
      <c r="BR235" s="57"/>
    </row>
    <row r="236" spans="1:70" x14ac:dyDescent="0.25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7"/>
      <c r="AR236" s="57"/>
      <c r="AS236" s="57"/>
      <c r="AT236" s="57"/>
      <c r="AU236" s="57"/>
      <c r="AV236" s="57"/>
      <c r="AW236" s="57"/>
      <c r="AX236" s="57"/>
      <c r="AY236" s="57"/>
      <c r="AZ236" s="57"/>
      <c r="BA236" s="57"/>
      <c r="BB236" s="57"/>
      <c r="BC236" s="57"/>
      <c r="BD236" s="57"/>
      <c r="BE236" s="57"/>
      <c r="BF236" s="57"/>
      <c r="BG236" s="57"/>
      <c r="BH236" s="57"/>
      <c r="BI236" s="57"/>
      <c r="BJ236" s="57"/>
      <c r="BK236" s="57"/>
      <c r="BL236" s="57"/>
      <c r="BM236" s="57"/>
      <c r="BN236" s="57"/>
      <c r="BO236" s="57"/>
      <c r="BP236" s="57"/>
      <c r="BQ236" s="57"/>
      <c r="BR236" s="57"/>
    </row>
    <row r="237" spans="1:70" x14ac:dyDescent="0.25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7"/>
      <c r="AR237" s="57"/>
      <c r="AS237" s="57"/>
      <c r="AT237" s="57"/>
      <c r="AU237" s="57"/>
      <c r="AV237" s="57"/>
      <c r="AW237" s="57"/>
      <c r="AX237" s="57"/>
      <c r="AY237" s="57"/>
      <c r="AZ237" s="57"/>
      <c r="BA237" s="57"/>
      <c r="BB237" s="57"/>
      <c r="BC237" s="57"/>
      <c r="BD237" s="57"/>
      <c r="BE237" s="57"/>
      <c r="BF237" s="57"/>
      <c r="BG237" s="57"/>
      <c r="BH237" s="57"/>
      <c r="BI237" s="57"/>
      <c r="BJ237" s="57"/>
      <c r="BK237" s="57"/>
      <c r="BL237" s="57"/>
      <c r="BM237" s="57"/>
      <c r="BN237" s="57"/>
      <c r="BO237" s="57"/>
      <c r="BP237" s="57"/>
      <c r="BQ237" s="57"/>
      <c r="BR237" s="57"/>
    </row>
    <row r="238" spans="1:70" x14ac:dyDescent="0.25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7"/>
      <c r="AR238" s="57"/>
      <c r="AS238" s="57"/>
      <c r="AT238" s="57"/>
      <c r="AU238" s="57"/>
      <c r="AV238" s="57"/>
      <c r="AW238" s="57"/>
      <c r="AX238" s="57"/>
      <c r="AY238" s="57"/>
      <c r="AZ238" s="57"/>
      <c r="BA238" s="57"/>
      <c r="BB238" s="57"/>
      <c r="BC238" s="57"/>
      <c r="BD238" s="57"/>
      <c r="BE238" s="57"/>
      <c r="BF238" s="57"/>
      <c r="BG238" s="57"/>
      <c r="BH238" s="57"/>
      <c r="BI238" s="57"/>
      <c r="BJ238" s="57"/>
      <c r="BK238" s="57"/>
      <c r="BL238" s="57"/>
      <c r="BM238" s="57"/>
      <c r="BN238" s="57"/>
      <c r="BO238" s="57"/>
      <c r="BP238" s="57"/>
      <c r="BQ238" s="57"/>
      <c r="BR238" s="57"/>
    </row>
    <row r="239" spans="1:70" x14ac:dyDescent="0.25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7"/>
      <c r="AR239" s="57"/>
      <c r="AS239" s="57"/>
      <c r="AT239" s="57"/>
      <c r="AU239" s="57"/>
      <c r="AV239" s="57"/>
      <c r="AW239" s="57"/>
      <c r="AX239" s="57"/>
      <c r="AY239" s="57"/>
      <c r="AZ239" s="57"/>
      <c r="BA239" s="57"/>
      <c r="BB239" s="57"/>
      <c r="BC239" s="57"/>
      <c r="BD239" s="57"/>
      <c r="BE239" s="57"/>
      <c r="BF239" s="57"/>
      <c r="BG239" s="57"/>
      <c r="BH239" s="57"/>
      <c r="BI239" s="57"/>
      <c r="BJ239" s="57"/>
      <c r="BK239" s="57"/>
      <c r="BL239" s="57"/>
      <c r="BM239" s="57"/>
      <c r="BN239" s="57"/>
      <c r="BO239" s="57"/>
      <c r="BP239" s="57"/>
      <c r="BQ239" s="57"/>
      <c r="BR239" s="57"/>
    </row>
    <row r="240" spans="1:70" x14ac:dyDescent="0.25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7"/>
      <c r="AR240" s="57"/>
      <c r="AS240" s="57"/>
      <c r="AT240" s="57"/>
      <c r="AU240" s="57"/>
      <c r="AV240" s="57"/>
      <c r="AW240" s="57"/>
      <c r="AX240" s="57"/>
      <c r="AY240" s="57"/>
      <c r="AZ240" s="57"/>
      <c r="BA240" s="57"/>
      <c r="BB240" s="57"/>
      <c r="BC240" s="57"/>
      <c r="BD240" s="57"/>
      <c r="BE240" s="57"/>
      <c r="BF240" s="57"/>
      <c r="BG240" s="57"/>
      <c r="BH240" s="57"/>
      <c r="BI240" s="57"/>
      <c r="BJ240" s="57"/>
      <c r="BK240" s="57"/>
      <c r="BL240" s="57"/>
      <c r="BM240" s="57"/>
      <c r="BN240" s="57"/>
      <c r="BO240" s="57"/>
      <c r="BP240" s="57"/>
      <c r="BQ240" s="57"/>
      <c r="BR240" s="57"/>
    </row>
    <row r="241" spans="1:70" x14ac:dyDescent="0.25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7"/>
      <c r="AR241" s="57"/>
      <c r="AS241" s="57"/>
      <c r="AT241" s="57"/>
      <c r="AU241" s="57"/>
      <c r="AV241" s="57"/>
      <c r="AW241" s="57"/>
      <c r="AX241" s="57"/>
      <c r="AY241" s="57"/>
      <c r="AZ241" s="57"/>
      <c r="BA241" s="57"/>
      <c r="BB241" s="57"/>
      <c r="BC241" s="57"/>
      <c r="BD241" s="57"/>
      <c r="BE241" s="57"/>
      <c r="BF241" s="57"/>
      <c r="BG241" s="57"/>
      <c r="BH241" s="57"/>
      <c r="BI241" s="57"/>
      <c r="BJ241" s="57"/>
      <c r="BK241" s="57"/>
      <c r="BL241" s="57"/>
      <c r="BM241" s="57"/>
      <c r="BN241" s="57"/>
      <c r="BO241" s="57"/>
      <c r="BP241" s="57"/>
      <c r="BQ241" s="57"/>
      <c r="BR241" s="57"/>
    </row>
    <row r="242" spans="1:70" x14ac:dyDescent="0.25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7"/>
      <c r="AR242" s="57"/>
      <c r="AS242" s="57"/>
      <c r="AT242" s="57"/>
      <c r="AU242" s="57"/>
      <c r="AV242" s="57"/>
      <c r="AW242" s="57"/>
      <c r="AX242" s="57"/>
      <c r="AY242" s="57"/>
      <c r="AZ242" s="57"/>
      <c r="BA242" s="57"/>
      <c r="BB242" s="57"/>
      <c r="BC242" s="57"/>
      <c r="BD242" s="57"/>
      <c r="BE242" s="57"/>
      <c r="BF242" s="57"/>
      <c r="BG242" s="57"/>
      <c r="BH242" s="57"/>
      <c r="BI242" s="57"/>
      <c r="BJ242" s="57"/>
      <c r="BK242" s="57"/>
      <c r="BL242" s="57"/>
      <c r="BM242" s="57"/>
      <c r="BN242" s="57"/>
      <c r="BO242" s="57"/>
      <c r="BP242" s="57"/>
      <c r="BQ242" s="57"/>
      <c r="BR242" s="57"/>
    </row>
    <row r="243" spans="1:70" x14ac:dyDescent="0.25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7"/>
      <c r="AR243" s="57"/>
      <c r="AS243" s="57"/>
      <c r="AT243" s="57"/>
      <c r="AU243" s="57"/>
      <c r="AV243" s="57"/>
      <c r="AW243" s="57"/>
      <c r="AX243" s="57"/>
      <c r="AY243" s="57"/>
      <c r="AZ243" s="57"/>
      <c r="BA243" s="57"/>
      <c r="BB243" s="57"/>
      <c r="BC243" s="57"/>
      <c r="BD243" s="57"/>
      <c r="BE243" s="57"/>
      <c r="BF243" s="57"/>
      <c r="BG243" s="57"/>
      <c r="BH243" s="57"/>
      <c r="BI243" s="57"/>
      <c r="BJ243" s="57"/>
      <c r="BK243" s="57"/>
      <c r="BL243" s="57"/>
      <c r="BM243" s="57"/>
      <c r="BN243" s="57"/>
      <c r="BO243" s="57"/>
      <c r="BP243" s="57"/>
      <c r="BQ243" s="57"/>
      <c r="BR243" s="57"/>
    </row>
    <row r="244" spans="1:70" x14ac:dyDescent="0.25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7"/>
      <c r="AR244" s="57"/>
      <c r="AS244" s="57"/>
      <c r="AT244" s="57"/>
      <c r="AU244" s="57"/>
      <c r="AV244" s="57"/>
      <c r="AW244" s="57"/>
      <c r="AX244" s="57"/>
      <c r="AY244" s="57"/>
      <c r="AZ244" s="57"/>
      <c r="BA244" s="57"/>
      <c r="BB244" s="57"/>
      <c r="BC244" s="57"/>
      <c r="BD244" s="57"/>
      <c r="BE244" s="57"/>
      <c r="BF244" s="57"/>
      <c r="BG244" s="57"/>
      <c r="BH244" s="57"/>
      <c r="BI244" s="57"/>
      <c r="BJ244" s="57"/>
      <c r="BK244" s="57"/>
      <c r="BL244" s="57"/>
      <c r="BM244" s="57"/>
      <c r="BN244" s="57"/>
      <c r="BO244" s="57"/>
      <c r="BP244" s="57"/>
      <c r="BQ244" s="57"/>
      <c r="BR244" s="57"/>
    </row>
    <row r="245" spans="1:70" x14ac:dyDescent="0.25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7"/>
      <c r="AR245" s="57"/>
      <c r="AS245" s="57"/>
      <c r="AT245" s="57"/>
      <c r="AU245" s="57"/>
      <c r="AV245" s="57"/>
      <c r="AW245" s="57"/>
      <c r="AX245" s="57"/>
      <c r="AY245" s="57"/>
      <c r="AZ245" s="57"/>
      <c r="BA245" s="57"/>
      <c r="BB245" s="57"/>
      <c r="BC245" s="57"/>
      <c r="BD245" s="57"/>
      <c r="BE245" s="57"/>
      <c r="BF245" s="57"/>
      <c r="BG245" s="57"/>
      <c r="BH245" s="57"/>
      <c r="BI245" s="57"/>
      <c r="BJ245" s="57"/>
      <c r="BK245" s="57"/>
      <c r="BL245" s="57"/>
      <c r="BM245" s="57"/>
      <c r="BN245" s="57"/>
      <c r="BO245" s="57"/>
      <c r="BP245" s="57"/>
      <c r="BQ245" s="57"/>
      <c r="BR245" s="57"/>
    </row>
    <row r="246" spans="1:70" x14ac:dyDescent="0.25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7"/>
      <c r="AR246" s="57"/>
      <c r="AS246" s="57"/>
      <c r="AT246" s="57"/>
      <c r="AU246" s="57"/>
      <c r="AV246" s="57"/>
      <c r="AW246" s="57"/>
      <c r="AX246" s="57"/>
      <c r="AY246" s="57"/>
      <c r="AZ246" s="57"/>
      <c r="BA246" s="57"/>
      <c r="BB246" s="57"/>
      <c r="BC246" s="57"/>
      <c r="BD246" s="57"/>
      <c r="BE246" s="57"/>
      <c r="BF246" s="57"/>
      <c r="BG246" s="57"/>
      <c r="BH246" s="57"/>
      <c r="BI246" s="57"/>
      <c r="BJ246" s="57"/>
      <c r="BK246" s="57"/>
      <c r="BL246" s="57"/>
      <c r="BM246" s="57"/>
      <c r="BN246" s="57"/>
      <c r="BO246" s="57"/>
      <c r="BP246" s="57"/>
      <c r="BQ246" s="57"/>
      <c r="BR246" s="57"/>
    </row>
    <row r="247" spans="1:70" x14ac:dyDescent="0.25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7"/>
      <c r="AR247" s="57"/>
      <c r="AS247" s="57"/>
      <c r="AT247" s="57"/>
      <c r="AU247" s="57"/>
      <c r="AV247" s="57"/>
      <c r="AW247" s="57"/>
      <c r="AX247" s="57"/>
      <c r="AY247" s="57"/>
      <c r="AZ247" s="57"/>
      <c r="BA247" s="57"/>
      <c r="BB247" s="57"/>
      <c r="BC247" s="57"/>
      <c r="BD247" s="57"/>
      <c r="BE247" s="57"/>
      <c r="BF247" s="57"/>
      <c r="BG247" s="57"/>
      <c r="BH247" s="57"/>
      <c r="BI247" s="57"/>
      <c r="BJ247" s="57"/>
      <c r="BK247" s="57"/>
      <c r="BL247" s="57"/>
      <c r="BM247" s="57"/>
      <c r="BN247" s="57"/>
      <c r="BO247" s="57"/>
      <c r="BP247" s="57"/>
      <c r="BQ247" s="57"/>
      <c r="BR247" s="57"/>
    </row>
    <row r="248" spans="1:70" x14ac:dyDescent="0.25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7"/>
      <c r="AR248" s="57"/>
      <c r="AS248" s="57"/>
      <c r="AT248" s="57"/>
      <c r="AU248" s="57"/>
      <c r="AV248" s="57"/>
      <c r="AW248" s="57"/>
      <c r="AX248" s="57"/>
      <c r="AY248" s="57"/>
      <c r="AZ248" s="57"/>
      <c r="BA248" s="57"/>
      <c r="BB248" s="57"/>
      <c r="BC248" s="57"/>
      <c r="BD248" s="57"/>
      <c r="BE248" s="57"/>
      <c r="BF248" s="57"/>
      <c r="BG248" s="57"/>
      <c r="BH248" s="57"/>
      <c r="BI248" s="57"/>
      <c r="BJ248" s="57"/>
      <c r="BK248" s="57"/>
      <c r="BL248" s="57"/>
      <c r="BM248" s="57"/>
      <c r="BN248" s="57"/>
      <c r="BO248" s="57"/>
      <c r="BP248" s="57"/>
      <c r="BQ248" s="57"/>
      <c r="BR248" s="57"/>
    </row>
    <row r="249" spans="1:70" x14ac:dyDescent="0.25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7"/>
      <c r="AR249" s="57"/>
      <c r="AS249" s="57"/>
      <c r="AT249" s="57"/>
      <c r="AU249" s="57"/>
      <c r="AV249" s="57"/>
      <c r="AW249" s="57"/>
      <c r="AX249" s="57"/>
      <c r="AY249" s="57"/>
      <c r="AZ249" s="57"/>
      <c r="BA249" s="57"/>
      <c r="BB249" s="57"/>
      <c r="BC249" s="57"/>
      <c r="BD249" s="57"/>
      <c r="BE249" s="57"/>
      <c r="BF249" s="57"/>
      <c r="BG249" s="57"/>
      <c r="BH249" s="57"/>
      <c r="BI249" s="57"/>
      <c r="BJ249" s="57"/>
      <c r="BK249" s="57"/>
      <c r="BL249" s="57"/>
      <c r="BM249" s="57"/>
      <c r="BN249" s="57"/>
      <c r="BO249" s="57"/>
      <c r="BP249" s="57"/>
      <c r="BQ249" s="57"/>
      <c r="BR249" s="57"/>
    </row>
    <row r="250" spans="1:70" x14ac:dyDescent="0.25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7"/>
      <c r="AR250" s="57"/>
      <c r="AS250" s="57"/>
      <c r="AT250" s="57"/>
      <c r="AU250" s="57"/>
      <c r="AV250" s="57"/>
      <c r="AW250" s="57"/>
      <c r="AX250" s="57"/>
      <c r="AY250" s="57"/>
      <c r="AZ250" s="57"/>
      <c r="BA250" s="57"/>
      <c r="BB250" s="57"/>
      <c r="BC250" s="57"/>
      <c r="BD250" s="57"/>
      <c r="BE250" s="57"/>
      <c r="BF250" s="57"/>
      <c r="BG250" s="57"/>
      <c r="BH250" s="57"/>
      <c r="BI250" s="57"/>
      <c r="BJ250" s="57"/>
      <c r="BK250" s="57"/>
      <c r="BL250" s="57"/>
      <c r="BM250" s="57"/>
      <c r="BN250" s="57"/>
      <c r="BO250" s="57"/>
      <c r="BP250" s="57"/>
      <c r="BQ250" s="57"/>
      <c r="BR250" s="57"/>
    </row>
    <row r="251" spans="1:70" x14ac:dyDescent="0.25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7"/>
      <c r="AR251" s="57"/>
      <c r="AS251" s="57"/>
      <c r="AT251" s="57"/>
      <c r="AU251" s="57"/>
      <c r="AV251" s="57"/>
      <c r="AW251" s="57"/>
      <c r="AX251" s="57"/>
      <c r="AY251" s="57"/>
      <c r="AZ251" s="57"/>
      <c r="BA251" s="57"/>
      <c r="BB251" s="57"/>
      <c r="BC251" s="57"/>
      <c r="BD251" s="57"/>
      <c r="BE251" s="57"/>
      <c r="BF251" s="57"/>
      <c r="BG251" s="57"/>
      <c r="BH251" s="57"/>
      <c r="BI251" s="57"/>
      <c r="BJ251" s="57"/>
      <c r="BK251" s="57"/>
      <c r="BL251" s="57"/>
      <c r="BM251" s="57"/>
      <c r="BN251" s="57"/>
      <c r="BO251" s="57"/>
      <c r="BP251" s="57"/>
      <c r="BQ251" s="57"/>
      <c r="BR251" s="57"/>
    </row>
    <row r="252" spans="1:70" x14ac:dyDescent="0.25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7"/>
      <c r="AR252" s="57"/>
      <c r="AS252" s="57"/>
      <c r="AT252" s="57"/>
      <c r="AU252" s="57"/>
      <c r="AV252" s="57"/>
      <c r="AW252" s="57"/>
      <c r="AX252" s="57"/>
      <c r="AY252" s="57"/>
      <c r="AZ252" s="57"/>
      <c r="BA252" s="57"/>
      <c r="BB252" s="57"/>
      <c r="BC252" s="57"/>
      <c r="BD252" s="57"/>
      <c r="BE252" s="57"/>
      <c r="BF252" s="57"/>
      <c r="BG252" s="57"/>
      <c r="BH252" s="57"/>
      <c r="BI252" s="57"/>
      <c r="BJ252" s="57"/>
      <c r="BK252" s="57"/>
      <c r="BL252" s="57"/>
      <c r="BM252" s="57"/>
      <c r="BN252" s="57"/>
      <c r="BO252" s="57"/>
      <c r="BP252" s="57"/>
      <c r="BQ252" s="57"/>
      <c r="BR252" s="57"/>
    </row>
    <row r="253" spans="1:70" x14ac:dyDescent="0.25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7"/>
      <c r="AR253" s="57"/>
      <c r="AS253" s="57"/>
      <c r="AT253" s="57"/>
      <c r="AU253" s="57"/>
      <c r="AV253" s="57"/>
      <c r="AW253" s="57"/>
      <c r="AX253" s="57"/>
      <c r="AY253" s="57"/>
      <c r="AZ253" s="57"/>
      <c r="BA253" s="57"/>
      <c r="BB253" s="57"/>
      <c r="BC253" s="57"/>
      <c r="BD253" s="57"/>
      <c r="BE253" s="57"/>
      <c r="BF253" s="57"/>
      <c r="BG253" s="57"/>
      <c r="BH253" s="57"/>
      <c r="BI253" s="57"/>
      <c r="BJ253" s="57"/>
      <c r="BK253" s="57"/>
      <c r="BL253" s="57"/>
      <c r="BM253" s="57"/>
      <c r="BN253" s="57"/>
      <c r="BO253" s="57"/>
      <c r="BP253" s="57"/>
      <c r="BQ253" s="57"/>
      <c r="BR253" s="57"/>
    </row>
    <row r="254" spans="1:70" x14ac:dyDescent="0.25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7"/>
      <c r="AR254" s="57"/>
      <c r="AS254" s="57"/>
      <c r="AT254" s="57"/>
      <c r="AU254" s="57"/>
      <c r="AV254" s="57"/>
      <c r="AW254" s="57"/>
      <c r="AX254" s="57"/>
      <c r="AY254" s="57"/>
      <c r="AZ254" s="57"/>
      <c r="BA254" s="57"/>
      <c r="BB254" s="57"/>
      <c r="BC254" s="57"/>
      <c r="BD254" s="57"/>
      <c r="BE254" s="57"/>
      <c r="BF254" s="57"/>
      <c r="BG254" s="57"/>
      <c r="BH254" s="57"/>
      <c r="BI254" s="57"/>
      <c r="BJ254" s="57"/>
      <c r="BK254" s="57"/>
      <c r="BL254" s="57"/>
      <c r="BM254" s="57"/>
      <c r="BN254" s="57"/>
      <c r="BO254" s="57"/>
      <c r="BP254" s="57"/>
      <c r="BQ254" s="57"/>
      <c r="BR254" s="57"/>
    </row>
    <row r="255" spans="1:70" x14ac:dyDescent="0.25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7"/>
      <c r="AR255" s="57"/>
      <c r="AS255" s="57"/>
      <c r="AT255" s="57"/>
      <c r="AU255" s="57"/>
      <c r="AV255" s="57"/>
      <c r="AW255" s="57"/>
      <c r="AX255" s="57"/>
      <c r="AY255" s="57"/>
      <c r="AZ255" s="57"/>
      <c r="BA255" s="57"/>
      <c r="BB255" s="57"/>
      <c r="BC255" s="57"/>
      <c r="BD255" s="57"/>
      <c r="BE255" s="57"/>
      <c r="BF255" s="57"/>
      <c r="BG255" s="57"/>
      <c r="BH255" s="57"/>
      <c r="BI255" s="57"/>
      <c r="BJ255" s="57"/>
      <c r="BK255" s="57"/>
      <c r="BL255" s="57"/>
      <c r="BM255" s="57"/>
      <c r="BN255" s="57"/>
      <c r="BO255" s="57"/>
      <c r="BP255" s="57"/>
      <c r="BQ255" s="57"/>
      <c r="BR255" s="57"/>
    </row>
    <row r="256" spans="1:70" x14ac:dyDescent="0.25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7"/>
      <c r="AR256" s="57"/>
      <c r="AS256" s="57"/>
      <c r="AT256" s="57"/>
      <c r="AU256" s="57"/>
      <c r="AV256" s="57"/>
      <c r="AW256" s="57"/>
      <c r="AX256" s="57"/>
      <c r="AY256" s="57"/>
      <c r="AZ256" s="57"/>
      <c r="BA256" s="57"/>
      <c r="BB256" s="57"/>
      <c r="BC256" s="57"/>
      <c r="BD256" s="57"/>
      <c r="BE256" s="57"/>
      <c r="BF256" s="57"/>
      <c r="BG256" s="57"/>
      <c r="BH256" s="57"/>
      <c r="BI256" s="57"/>
      <c r="BJ256" s="57"/>
      <c r="BK256" s="57"/>
      <c r="BL256" s="57"/>
      <c r="BM256" s="57"/>
      <c r="BN256" s="57"/>
      <c r="BO256" s="57"/>
      <c r="BP256" s="57"/>
      <c r="BQ256" s="57"/>
      <c r="BR256" s="57"/>
    </row>
    <row r="257" spans="1:70" x14ac:dyDescent="0.25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7"/>
      <c r="AR257" s="57"/>
      <c r="AS257" s="57"/>
      <c r="AT257" s="57"/>
      <c r="AU257" s="57"/>
      <c r="AV257" s="57"/>
      <c r="AW257" s="57"/>
      <c r="AX257" s="57"/>
      <c r="AY257" s="57"/>
      <c r="AZ257" s="57"/>
      <c r="BA257" s="57"/>
      <c r="BB257" s="57"/>
      <c r="BC257" s="57"/>
      <c r="BD257" s="57"/>
      <c r="BE257" s="57"/>
      <c r="BF257" s="57"/>
      <c r="BG257" s="57"/>
      <c r="BH257" s="57"/>
      <c r="BI257" s="57"/>
      <c r="BJ257" s="57"/>
      <c r="BK257" s="57"/>
      <c r="BL257" s="57"/>
      <c r="BM257" s="57"/>
      <c r="BN257" s="57"/>
      <c r="BO257" s="57"/>
      <c r="BP257" s="57"/>
      <c r="BQ257" s="57"/>
      <c r="BR257" s="57"/>
    </row>
    <row r="258" spans="1:70" x14ac:dyDescent="0.25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7"/>
      <c r="AR258" s="57"/>
      <c r="AS258" s="57"/>
      <c r="AT258" s="57"/>
      <c r="AU258" s="57"/>
      <c r="AV258" s="57"/>
      <c r="AW258" s="57"/>
      <c r="AX258" s="57"/>
      <c r="AY258" s="57"/>
      <c r="AZ258" s="57"/>
      <c r="BA258" s="57"/>
      <c r="BB258" s="57"/>
      <c r="BC258" s="57"/>
      <c r="BD258" s="57"/>
      <c r="BE258" s="57"/>
      <c r="BF258" s="57"/>
      <c r="BG258" s="57"/>
      <c r="BH258" s="57"/>
      <c r="BI258" s="57"/>
      <c r="BJ258" s="57"/>
      <c r="BK258" s="57"/>
      <c r="BL258" s="57"/>
      <c r="BM258" s="57"/>
      <c r="BN258" s="57"/>
      <c r="BO258" s="57"/>
      <c r="BP258" s="57"/>
      <c r="BQ258" s="57"/>
      <c r="BR258" s="57"/>
    </row>
    <row r="259" spans="1:70" x14ac:dyDescent="0.25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7"/>
      <c r="AR259" s="57"/>
      <c r="AS259" s="57"/>
      <c r="AT259" s="57"/>
      <c r="AU259" s="57"/>
      <c r="AV259" s="57"/>
      <c r="AW259" s="57"/>
      <c r="AX259" s="57"/>
      <c r="AY259" s="57"/>
      <c r="AZ259" s="57"/>
      <c r="BA259" s="57"/>
      <c r="BB259" s="57"/>
      <c r="BC259" s="57"/>
      <c r="BD259" s="57"/>
      <c r="BE259" s="57"/>
      <c r="BF259" s="57"/>
      <c r="BG259" s="57"/>
      <c r="BH259" s="57"/>
      <c r="BI259" s="57"/>
      <c r="BJ259" s="57"/>
      <c r="BK259" s="57"/>
      <c r="BL259" s="57"/>
      <c r="BM259" s="57"/>
      <c r="BN259" s="57"/>
      <c r="BO259" s="57"/>
      <c r="BP259" s="57"/>
      <c r="BQ259" s="57"/>
      <c r="BR259" s="57"/>
    </row>
    <row r="260" spans="1:70" x14ac:dyDescent="0.25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7"/>
      <c r="AR260" s="57"/>
      <c r="AS260" s="57"/>
      <c r="AT260" s="57"/>
      <c r="AU260" s="57"/>
      <c r="AV260" s="57"/>
      <c r="AW260" s="57"/>
      <c r="AX260" s="57"/>
      <c r="AY260" s="57"/>
      <c r="AZ260" s="57"/>
      <c r="BA260" s="57"/>
      <c r="BB260" s="57"/>
      <c r="BC260" s="57"/>
      <c r="BD260" s="57"/>
      <c r="BE260" s="57"/>
      <c r="BF260" s="57"/>
      <c r="BG260" s="57"/>
      <c r="BH260" s="57"/>
      <c r="BI260" s="57"/>
      <c r="BJ260" s="57"/>
      <c r="BK260" s="57"/>
      <c r="BL260" s="57"/>
      <c r="BM260" s="57"/>
      <c r="BN260" s="57"/>
      <c r="BO260" s="57"/>
      <c r="BP260" s="57"/>
      <c r="BQ260" s="57"/>
      <c r="BR260" s="57"/>
    </row>
    <row r="261" spans="1:70" x14ac:dyDescent="0.25">
      <c r="A261" s="57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7"/>
      <c r="AR261" s="57"/>
      <c r="AS261" s="57"/>
      <c r="AT261" s="57"/>
      <c r="AU261" s="57"/>
      <c r="AV261" s="57"/>
      <c r="AW261" s="57"/>
      <c r="AX261" s="57"/>
      <c r="AY261" s="57"/>
      <c r="AZ261" s="57"/>
      <c r="BA261" s="57"/>
      <c r="BB261" s="57"/>
      <c r="BC261" s="57"/>
      <c r="BD261" s="57"/>
      <c r="BE261" s="57"/>
      <c r="BF261" s="57"/>
      <c r="BG261" s="57"/>
      <c r="BH261" s="57"/>
      <c r="BI261" s="57"/>
      <c r="BJ261" s="57"/>
      <c r="BK261" s="57"/>
      <c r="BL261" s="57"/>
      <c r="BM261" s="57"/>
      <c r="BN261" s="57"/>
      <c r="BO261" s="57"/>
      <c r="BP261" s="57"/>
      <c r="BQ261" s="57"/>
      <c r="BR261" s="57"/>
    </row>
    <row r="262" spans="1:70" x14ac:dyDescent="0.25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7"/>
      <c r="AR262" s="57"/>
      <c r="AS262" s="57"/>
      <c r="AT262" s="57"/>
      <c r="AU262" s="57"/>
      <c r="AV262" s="57"/>
      <c r="AW262" s="57"/>
      <c r="AX262" s="57"/>
      <c r="AY262" s="57"/>
      <c r="AZ262" s="57"/>
      <c r="BA262" s="57"/>
      <c r="BB262" s="57"/>
      <c r="BC262" s="57"/>
      <c r="BD262" s="57"/>
      <c r="BE262" s="57"/>
      <c r="BF262" s="57"/>
      <c r="BG262" s="57"/>
      <c r="BH262" s="57"/>
      <c r="BI262" s="57"/>
      <c r="BJ262" s="57"/>
      <c r="BK262" s="57"/>
      <c r="BL262" s="57"/>
      <c r="BM262" s="57"/>
      <c r="BN262" s="57"/>
      <c r="BO262" s="57"/>
      <c r="BP262" s="57"/>
      <c r="BQ262" s="57"/>
      <c r="BR262" s="57"/>
    </row>
    <row r="263" spans="1:70" x14ac:dyDescent="0.25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7"/>
      <c r="AR263" s="57"/>
      <c r="AS263" s="57"/>
      <c r="AT263" s="57"/>
      <c r="AU263" s="57"/>
      <c r="AV263" s="57"/>
      <c r="AW263" s="57"/>
      <c r="AX263" s="57"/>
      <c r="AY263" s="57"/>
      <c r="AZ263" s="57"/>
      <c r="BA263" s="57"/>
      <c r="BB263" s="57"/>
      <c r="BC263" s="57"/>
      <c r="BD263" s="57"/>
      <c r="BE263" s="57"/>
      <c r="BF263" s="57"/>
      <c r="BG263" s="57"/>
      <c r="BH263" s="57"/>
      <c r="BI263" s="57"/>
      <c r="BJ263" s="57"/>
      <c r="BK263" s="57"/>
      <c r="BL263" s="57"/>
      <c r="BM263" s="57"/>
      <c r="BN263" s="57"/>
      <c r="BO263" s="57"/>
      <c r="BP263" s="57"/>
      <c r="BQ263" s="57"/>
      <c r="BR263" s="57"/>
    </row>
    <row r="264" spans="1:70" x14ac:dyDescent="0.25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7"/>
      <c r="AR264" s="57"/>
      <c r="AS264" s="57"/>
      <c r="AT264" s="57"/>
      <c r="AU264" s="57"/>
      <c r="AV264" s="57"/>
      <c r="AW264" s="57"/>
      <c r="AX264" s="57"/>
      <c r="AY264" s="57"/>
      <c r="AZ264" s="57"/>
      <c r="BA264" s="57"/>
      <c r="BB264" s="57"/>
      <c r="BC264" s="57"/>
      <c r="BD264" s="57"/>
      <c r="BE264" s="57"/>
      <c r="BF264" s="57"/>
      <c r="BG264" s="57"/>
      <c r="BH264" s="57"/>
      <c r="BI264" s="57"/>
      <c r="BJ264" s="57"/>
      <c r="BK264" s="57"/>
      <c r="BL264" s="57"/>
      <c r="BM264" s="57"/>
      <c r="BN264" s="57"/>
      <c r="BO264" s="57"/>
      <c r="BP264" s="57"/>
      <c r="BQ264" s="57"/>
      <c r="BR264" s="57"/>
    </row>
    <row r="265" spans="1:70" x14ac:dyDescent="0.25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7"/>
      <c r="AR265" s="57"/>
      <c r="AS265" s="57"/>
      <c r="AT265" s="57"/>
      <c r="AU265" s="57"/>
      <c r="AV265" s="57"/>
      <c r="AW265" s="57"/>
      <c r="AX265" s="57"/>
      <c r="AY265" s="57"/>
      <c r="AZ265" s="57"/>
      <c r="BA265" s="57"/>
      <c r="BB265" s="57"/>
      <c r="BC265" s="57"/>
      <c r="BD265" s="57"/>
      <c r="BE265" s="57"/>
      <c r="BF265" s="57"/>
      <c r="BG265" s="57"/>
      <c r="BH265" s="57"/>
      <c r="BI265" s="57"/>
      <c r="BJ265" s="57"/>
      <c r="BK265" s="57"/>
      <c r="BL265" s="57"/>
      <c r="BM265" s="57"/>
      <c r="BN265" s="57"/>
      <c r="BO265" s="57"/>
      <c r="BP265" s="57"/>
      <c r="BQ265" s="57"/>
      <c r="BR265" s="57"/>
    </row>
    <row r="266" spans="1:70" x14ac:dyDescent="0.25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7"/>
      <c r="AR266" s="57"/>
      <c r="AS266" s="57"/>
      <c r="AT266" s="57"/>
      <c r="AU266" s="57"/>
      <c r="AV266" s="57"/>
      <c r="AW266" s="57"/>
      <c r="AX266" s="57"/>
      <c r="AY266" s="57"/>
      <c r="AZ266" s="57"/>
      <c r="BA266" s="57"/>
      <c r="BB266" s="57"/>
      <c r="BC266" s="57"/>
      <c r="BD266" s="57"/>
      <c r="BE266" s="57"/>
      <c r="BF266" s="57"/>
      <c r="BG266" s="57"/>
      <c r="BH266" s="57"/>
      <c r="BI266" s="57"/>
      <c r="BJ266" s="57"/>
      <c r="BK266" s="57"/>
      <c r="BL266" s="57"/>
      <c r="BM266" s="57"/>
      <c r="BN266" s="57"/>
      <c r="BO266" s="57"/>
      <c r="BP266" s="57"/>
      <c r="BQ266" s="57"/>
      <c r="BR266" s="57"/>
    </row>
    <row r="267" spans="1:70" x14ac:dyDescent="0.25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7"/>
      <c r="AR267" s="57"/>
      <c r="AS267" s="57"/>
      <c r="AT267" s="57"/>
      <c r="AU267" s="57"/>
      <c r="AV267" s="57"/>
      <c r="AW267" s="57"/>
      <c r="AX267" s="57"/>
      <c r="AY267" s="57"/>
      <c r="AZ267" s="57"/>
      <c r="BA267" s="57"/>
      <c r="BB267" s="57"/>
      <c r="BC267" s="57"/>
      <c r="BD267" s="57"/>
      <c r="BE267" s="57"/>
      <c r="BF267" s="57"/>
      <c r="BG267" s="57"/>
      <c r="BH267" s="57"/>
      <c r="BI267" s="57"/>
      <c r="BJ267" s="57"/>
      <c r="BK267" s="57"/>
      <c r="BL267" s="57"/>
      <c r="BM267" s="57"/>
      <c r="BN267" s="57"/>
      <c r="BO267" s="57"/>
      <c r="BP267" s="57"/>
      <c r="BQ267" s="57"/>
      <c r="BR267" s="57"/>
    </row>
    <row r="268" spans="1:70" x14ac:dyDescent="0.25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7"/>
      <c r="AR268" s="57"/>
      <c r="AS268" s="57"/>
      <c r="AT268" s="57"/>
      <c r="AU268" s="57"/>
      <c r="AV268" s="57"/>
      <c r="AW268" s="57"/>
      <c r="AX268" s="57"/>
      <c r="AY268" s="57"/>
      <c r="AZ268" s="57"/>
      <c r="BA268" s="57"/>
      <c r="BB268" s="57"/>
      <c r="BC268" s="57"/>
      <c r="BD268" s="57"/>
      <c r="BE268" s="57"/>
      <c r="BF268" s="57"/>
      <c r="BG268" s="57"/>
      <c r="BH268" s="57"/>
      <c r="BI268" s="57"/>
      <c r="BJ268" s="57"/>
      <c r="BK268" s="57"/>
      <c r="BL268" s="57"/>
      <c r="BM268" s="57"/>
      <c r="BN268" s="57"/>
      <c r="BO268" s="57"/>
      <c r="BP268" s="57"/>
      <c r="BQ268" s="57"/>
      <c r="BR268" s="57"/>
    </row>
    <row r="269" spans="1:70" x14ac:dyDescent="0.25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7"/>
      <c r="AR269" s="57"/>
      <c r="AS269" s="57"/>
      <c r="AT269" s="57"/>
      <c r="AU269" s="57"/>
      <c r="AV269" s="57"/>
      <c r="AW269" s="57"/>
      <c r="AX269" s="57"/>
      <c r="AY269" s="57"/>
      <c r="AZ269" s="57"/>
      <c r="BA269" s="57"/>
      <c r="BB269" s="57"/>
      <c r="BC269" s="57"/>
      <c r="BD269" s="57"/>
      <c r="BE269" s="57"/>
      <c r="BF269" s="57"/>
      <c r="BG269" s="57"/>
      <c r="BH269" s="57"/>
      <c r="BI269" s="57"/>
      <c r="BJ269" s="57"/>
      <c r="BK269" s="57"/>
      <c r="BL269" s="57"/>
      <c r="BM269" s="57"/>
      <c r="BN269" s="57"/>
      <c r="BO269" s="57"/>
      <c r="BP269" s="57"/>
      <c r="BQ269" s="57"/>
      <c r="BR269" s="57"/>
    </row>
    <row r="270" spans="1:70" x14ac:dyDescent="0.25">
      <c r="A270" s="57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7"/>
      <c r="AR270" s="57"/>
      <c r="AS270" s="57"/>
      <c r="AT270" s="57"/>
      <c r="AU270" s="57"/>
      <c r="AV270" s="57"/>
      <c r="AW270" s="57"/>
      <c r="AX270" s="57"/>
      <c r="AY270" s="57"/>
      <c r="AZ270" s="57"/>
      <c r="BA270" s="57"/>
      <c r="BB270" s="57"/>
      <c r="BC270" s="57"/>
      <c r="BD270" s="57"/>
      <c r="BE270" s="57"/>
      <c r="BF270" s="57"/>
      <c r="BG270" s="57"/>
      <c r="BH270" s="57"/>
      <c r="BI270" s="57"/>
      <c r="BJ270" s="57"/>
      <c r="BK270" s="57"/>
      <c r="BL270" s="57"/>
      <c r="BM270" s="57"/>
      <c r="BN270" s="57"/>
      <c r="BO270" s="57"/>
      <c r="BP270" s="57"/>
      <c r="BQ270" s="57"/>
      <c r="BR270" s="57"/>
    </row>
    <row r="271" spans="1:70" x14ac:dyDescent="0.25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7"/>
      <c r="AR271" s="57"/>
      <c r="AS271" s="57"/>
      <c r="AT271" s="57"/>
      <c r="AU271" s="57"/>
      <c r="AV271" s="57"/>
      <c r="AW271" s="57"/>
      <c r="AX271" s="57"/>
      <c r="AY271" s="57"/>
      <c r="AZ271" s="57"/>
      <c r="BA271" s="57"/>
      <c r="BB271" s="57"/>
      <c r="BC271" s="57"/>
      <c r="BD271" s="57"/>
      <c r="BE271" s="57"/>
      <c r="BF271" s="57"/>
      <c r="BG271" s="57"/>
      <c r="BH271" s="57"/>
      <c r="BI271" s="57"/>
      <c r="BJ271" s="57"/>
      <c r="BK271" s="57"/>
      <c r="BL271" s="57"/>
      <c r="BM271" s="57"/>
      <c r="BN271" s="57"/>
      <c r="BO271" s="57"/>
      <c r="BP271" s="57"/>
      <c r="BQ271" s="57"/>
      <c r="BR271" s="57"/>
    </row>
    <row r="272" spans="1:70" x14ac:dyDescent="0.25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7"/>
      <c r="AR272" s="57"/>
      <c r="AS272" s="57"/>
      <c r="AT272" s="57"/>
      <c r="AU272" s="57"/>
      <c r="AV272" s="57"/>
      <c r="AW272" s="57"/>
      <c r="AX272" s="57"/>
      <c r="AY272" s="57"/>
      <c r="AZ272" s="57"/>
      <c r="BA272" s="57"/>
      <c r="BB272" s="57"/>
      <c r="BC272" s="57"/>
      <c r="BD272" s="57"/>
      <c r="BE272" s="57"/>
      <c r="BF272" s="57"/>
      <c r="BG272" s="57"/>
      <c r="BH272" s="57"/>
      <c r="BI272" s="57"/>
      <c r="BJ272" s="57"/>
      <c r="BK272" s="57"/>
      <c r="BL272" s="57"/>
      <c r="BM272" s="57"/>
      <c r="BN272" s="57"/>
      <c r="BO272" s="57"/>
      <c r="BP272" s="57"/>
      <c r="BQ272" s="57"/>
      <c r="BR272" s="57"/>
    </row>
    <row r="273" spans="1:70" x14ac:dyDescent="0.25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7"/>
      <c r="AR273" s="57"/>
      <c r="AS273" s="57"/>
      <c r="AT273" s="57"/>
      <c r="AU273" s="57"/>
      <c r="AV273" s="57"/>
      <c r="AW273" s="57"/>
      <c r="AX273" s="57"/>
      <c r="AY273" s="57"/>
      <c r="AZ273" s="57"/>
      <c r="BA273" s="57"/>
      <c r="BB273" s="57"/>
      <c r="BC273" s="57"/>
      <c r="BD273" s="57"/>
      <c r="BE273" s="57"/>
      <c r="BF273" s="57"/>
      <c r="BG273" s="57"/>
      <c r="BH273" s="57"/>
      <c r="BI273" s="57"/>
      <c r="BJ273" s="57"/>
      <c r="BK273" s="57"/>
      <c r="BL273" s="57"/>
      <c r="BM273" s="57"/>
      <c r="BN273" s="57"/>
      <c r="BO273" s="57"/>
      <c r="BP273" s="57"/>
      <c r="BQ273" s="57"/>
      <c r="BR273" s="57"/>
    </row>
    <row r="274" spans="1:70" x14ac:dyDescent="0.25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7"/>
      <c r="AR274" s="57"/>
      <c r="AS274" s="57"/>
      <c r="AT274" s="57"/>
      <c r="AU274" s="57"/>
      <c r="AV274" s="57"/>
      <c r="AW274" s="57"/>
      <c r="AX274" s="57"/>
      <c r="AY274" s="57"/>
      <c r="AZ274" s="57"/>
      <c r="BA274" s="57"/>
      <c r="BB274" s="57"/>
      <c r="BC274" s="57"/>
      <c r="BD274" s="57"/>
      <c r="BE274" s="57"/>
      <c r="BF274" s="57"/>
      <c r="BG274" s="57"/>
      <c r="BH274" s="57"/>
      <c r="BI274" s="57"/>
      <c r="BJ274" s="57"/>
      <c r="BK274" s="57"/>
      <c r="BL274" s="57"/>
      <c r="BM274" s="57"/>
      <c r="BN274" s="57"/>
      <c r="BO274" s="57"/>
      <c r="BP274" s="57"/>
      <c r="BQ274" s="57"/>
      <c r="BR274" s="57"/>
    </row>
    <row r="275" spans="1:70" x14ac:dyDescent="0.25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7"/>
      <c r="AR275" s="57"/>
      <c r="AS275" s="57"/>
      <c r="AT275" s="57"/>
      <c r="AU275" s="57"/>
      <c r="AV275" s="57"/>
      <c r="AW275" s="57"/>
      <c r="AX275" s="57"/>
      <c r="AY275" s="57"/>
      <c r="AZ275" s="57"/>
      <c r="BA275" s="57"/>
      <c r="BB275" s="57"/>
      <c r="BC275" s="57"/>
      <c r="BD275" s="57"/>
      <c r="BE275" s="57"/>
      <c r="BF275" s="57"/>
      <c r="BG275" s="57"/>
      <c r="BH275" s="57"/>
      <c r="BI275" s="57"/>
      <c r="BJ275" s="57"/>
      <c r="BK275" s="57"/>
      <c r="BL275" s="57"/>
      <c r="BM275" s="57"/>
      <c r="BN275" s="57"/>
      <c r="BO275" s="57"/>
      <c r="BP275" s="57"/>
      <c r="BQ275" s="57"/>
      <c r="BR275" s="57"/>
    </row>
    <row r="276" spans="1:70" x14ac:dyDescent="0.25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7"/>
      <c r="AR276" s="57"/>
      <c r="AS276" s="57"/>
      <c r="AT276" s="57"/>
      <c r="AU276" s="57"/>
      <c r="AV276" s="57"/>
      <c r="AW276" s="57"/>
      <c r="AX276" s="57"/>
      <c r="AY276" s="57"/>
      <c r="AZ276" s="57"/>
      <c r="BA276" s="57"/>
      <c r="BB276" s="57"/>
      <c r="BC276" s="57"/>
      <c r="BD276" s="57"/>
      <c r="BE276" s="57"/>
      <c r="BF276" s="57"/>
      <c r="BG276" s="57"/>
      <c r="BH276" s="57"/>
      <c r="BI276" s="57"/>
      <c r="BJ276" s="57"/>
      <c r="BK276" s="57"/>
      <c r="BL276" s="57"/>
      <c r="BM276" s="57"/>
      <c r="BN276" s="57"/>
      <c r="BO276" s="57"/>
      <c r="BP276" s="57"/>
      <c r="BQ276" s="57"/>
      <c r="BR276" s="57"/>
    </row>
    <row r="277" spans="1:70" x14ac:dyDescent="0.25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7"/>
      <c r="AR277" s="57"/>
      <c r="AS277" s="57"/>
      <c r="AT277" s="57"/>
      <c r="AU277" s="57"/>
      <c r="AV277" s="57"/>
      <c r="AW277" s="57"/>
      <c r="AX277" s="57"/>
      <c r="AY277" s="57"/>
      <c r="AZ277" s="57"/>
      <c r="BA277" s="57"/>
      <c r="BB277" s="57"/>
      <c r="BC277" s="57"/>
      <c r="BD277" s="57"/>
      <c r="BE277" s="57"/>
      <c r="BF277" s="57"/>
      <c r="BG277" s="57"/>
      <c r="BH277" s="57"/>
      <c r="BI277" s="57"/>
      <c r="BJ277" s="57"/>
      <c r="BK277" s="57"/>
      <c r="BL277" s="57"/>
      <c r="BM277" s="57"/>
      <c r="BN277" s="57"/>
      <c r="BO277" s="57"/>
      <c r="BP277" s="57"/>
      <c r="BQ277" s="57"/>
      <c r="BR277" s="57"/>
    </row>
    <row r="278" spans="1:70" x14ac:dyDescent="0.25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7"/>
      <c r="AR278" s="57"/>
      <c r="AS278" s="57"/>
      <c r="AT278" s="57"/>
      <c r="AU278" s="57"/>
      <c r="AV278" s="57"/>
      <c r="AW278" s="57"/>
      <c r="AX278" s="57"/>
      <c r="AY278" s="57"/>
      <c r="AZ278" s="57"/>
      <c r="BA278" s="57"/>
      <c r="BB278" s="57"/>
      <c r="BC278" s="57"/>
      <c r="BD278" s="57"/>
      <c r="BE278" s="57"/>
      <c r="BF278" s="57"/>
      <c r="BG278" s="57"/>
      <c r="BH278" s="57"/>
      <c r="BI278" s="57"/>
      <c r="BJ278" s="57"/>
      <c r="BK278" s="57"/>
      <c r="BL278" s="57"/>
      <c r="BM278" s="57"/>
      <c r="BN278" s="57"/>
      <c r="BO278" s="57"/>
      <c r="BP278" s="57"/>
      <c r="BQ278" s="57"/>
      <c r="BR278" s="57"/>
    </row>
    <row r="279" spans="1:70" x14ac:dyDescent="0.25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7"/>
      <c r="AR279" s="57"/>
      <c r="AS279" s="57"/>
      <c r="AT279" s="57"/>
      <c r="AU279" s="57"/>
      <c r="AV279" s="57"/>
      <c r="AW279" s="57"/>
      <c r="AX279" s="57"/>
      <c r="AY279" s="57"/>
      <c r="AZ279" s="57"/>
      <c r="BA279" s="57"/>
      <c r="BB279" s="57"/>
      <c r="BC279" s="57"/>
      <c r="BD279" s="57"/>
      <c r="BE279" s="57"/>
      <c r="BF279" s="57"/>
      <c r="BG279" s="57"/>
      <c r="BH279" s="57"/>
      <c r="BI279" s="57"/>
      <c r="BJ279" s="57"/>
      <c r="BK279" s="57"/>
      <c r="BL279" s="57"/>
      <c r="BM279" s="57"/>
      <c r="BN279" s="57"/>
      <c r="BO279" s="57"/>
      <c r="BP279" s="57"/>
      <c r="BQ279" s="57"/>
      <c r="BR279" s="57"/>
    </row>
    <row r="280" spans="1:70" x14ac:dyDescent="0.25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7"/>
      <c r="AR280" s="57"/>
      <c r="AS280" s="57"/>
      <c r="AT280" s="57"/>
      <c r="AU280" s="57"/>
      <c r="AV280" s="57"/>
      <c r="AW280" s="57"/>
      <c r="AX280" s="57"/>
      <c r="AY280" s="57"/>
      <c r="AZ280" s="57"/>
      <c r="BA280" s="57"/>
      <c r="BB280" s="57"/>
      <c r="BC280" s="57"/>
      <c r="BD280" s="57"/>
      <c r="BE280" s="57"/>
      <c r="BF280" s="57"/>
      <c r="BG280" s="57"/>
      <c r="BH280" s="57"/>
      <c r="BI280" s="57"/>
      <c r="BJ280" s="57"/>
      <c r="BK280" s="57"/>
      <c r="BL280" s="57"/>
      <c r="BM280" s="57"/>
      <c r="BN280" s="57"/>
      <c r="BO280" s="57"/>
      <c r="BP280" s="57"/>
      <c r="BQ280" s="57"/>
      <c r="BR280" s="57"/>
    </row>
    <row r="281" spans="1:70" x14ac:dyDescent="0.25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7"/>
      <c r="AR281" s="57"/>
      <c r="AS281" s="57"/>
      <c r="AT281" s="57"/>
      <c r="AU281" s="57"/>
      <c r="AV281" s="57"/>
      <c r="AW281" s="57"/>
      <c r="AX281" s="57"/>
      <c r="AY281" s="57"/>
      <c r="AZ281" s="57"/>
      <c r="BA281" s="57"/>
      <c r="BB281" s="57"/>
      <c r="BC281" s="57"/>
      <c r="BD281" s="57"/>
      <c r="BE281" s="57"/>
      <c r="BF281" s="57"/>
      <c r="BG281" s="57"/>
      <c r="BH281" s="57"/>
      <c r="BI281" s="57"/>
      <c r="BJ281" s="57"/>
      <c r="BK281" s="57"/>
      <c r="BL281" s="57"/>
      <c r="BM281" s="57"/>
      <c r="BN281" s="57"/>
      <c r="BO281" s="57"/>
      <c r="BP281" s="57"/>
      <c r="BQ281" s="57"/>
      <c r="BR281" s="57"/>
    </row>
    <row r="282" spans="1:70" x14ac:dyDescent="0.25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7"/>
      <c r="AR282" s="57"/>
      <c r="AS282" s="57"/>
      <c r="AT282" s="57"/>
      <c r="AU282" s="57"/>
      <c r="AV282" s="57"/>
      <c r="AW282" s="57"/>
      <c r="AX282" s="57"/>
      <c r="AY282" s="57"/>
      <c r="AZ282" s="57"/>
      <c r="BA282" s="57"/>
      <c r="BB282" s="57"/>
      <c r="BC282" s="57"/>
      <c r="BD282" s="57"/>
      <c r="BE282" s="57"/>
      <c r="BF282" s="57"/>
      <c r="BG282" s="57"/>
      <c r="BH282" s="57"/>
      <c r="BI282" s="57"/>
      <c r="BJ282" s="57"/>
      <c r="BK282" s="57"/>
      <c r="BL282" s="57"/>
      <c r="BM282" s="57"/>
      <c r="BN282" s="57"/>
      <c r="BO282" s="57"/>
      <c r="BP282" s="57"/>
      <c r="BQ282" s="57"/>
      <c r="BR282" s="57"/>
    </row>
    <row r="283" spans="1:70" x14ac:dyDescent="0.25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7"/>
      <c r="AR283" s="57"/>
      <c r="AS283" s="57"/>
      <c r="AT283" s="57"/>
      <c r="AU283" s="57"/>
      <c r="AV283" s="57"/>
      <c r="AW283" s="57"/>
      <c r="AX283" s="57"/>
      <c r="AY283" s="57"/>
      <c r="AZ283" s="57"/>
      <c r="BA283" s="57"/>
      <c r="BB283" s="57"/>
      <c r="BC283" s="57"/>
      <c r="BD283" s="57"/>
      <c r="BE283" s="57"/>
      <c r="BF283" s="57"/>
      <c r="BG283" s="57"/>
      <c r="BH283" s="57"/>
      <c r="BI283" s="57"/>
      <c r="BJ283" s="57"/>
      <c r="BK283" s="57"/>
      <c r="BL283" s="57"/>
      <c r="BM283" s="57"/>
      <c r="BN283" s="57"/>
      <c r="BO283" s="57"/>
      <c r="BP283" s="57"/>
      <c r="BQ283" s="57"/>
      <c r="BR283" s="57"/>
    </row>
    <row r="284" spans="1:70" x14ac:dyDescent="0.25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7"/>
      <c r="AR284" s="57"/>
      <c r="AS284" s="57"/>
      <c r="AT284" s="57"/>
      <c r="AU284" s="57"/>
      <c r="AV284" s="57"/>
      <c r="AW284" s="57"/>
      <c r="AX284" s="57"/>
      <c r="AY284" s="57"/>
      <c r="AZ284" s="57"/>
      <c r="BA284" s="57"/>
      <c r="BB284" s="57"/>
      <c r="BC284" s="57"/>
      <c r="BD284" s="57"/>
      <c r="BE284" s="57"/>
      <c r="BF284" s="57"/>
      <c r="BG284" s="57"/>
      <c r="BH284" s="57"/>
      <c r="BI284" s="57"/>
      <c r="BJ284" s="57"/>
      <c r="BK284" s="57"/>
      <c r="BL284" s="57"/>
      <c r="BM284" s="57"/>
      <c r="BN284" s="57"/>
      <c r="BO284" s="57"/>
      <c r="BP284" s="57"/>
      <c r="BQ284" s="57"/>
      <c r="BR284" s="57"/>
    </row>
    <row r="285" spans="1:70" x14ac:dyDescent="0.25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7"/>
      <c r="AR285" s="57"/>
      <c r="AS285" s="57"/>
      <c r="AT285" s="57"/>
      <c r="AU285" s="57"/>
      <c r="AV285" s="57"/>
      <c r="AW285" s="57"/>
      <c r="AX285" s="57"/>
      <c r="AY285" s="57"/>
      <c r="AZ285" s="57"/>
      <c r="BA285" s="57"/>
      <c r="BB285" s="57"/>
      <c r="BC285" s="57"/>
      <c r="BD285" s="57"/>
      <c r="BE285" s="57"/>
      <c r="BF285" s="57"/>
      <c r="BG285" s="57"/>
      <c r="BH285" s="57"/>
      <c r="BI285" s="57"/>
      <c r="BJ285" s="57"/>
      <c r="BK285" s="57"/>
      <c r="BL285" s="57"/>
      <c r="BM285" s="57"/>
      <c r="BN285" s="57"/>
      <c r="BO285" s="57"/>
      <c r="BP285" s="57"/>
      <c r="BQ285" s="57"/>
      <c r="BR285" s="57"/>
    </row>
    <row r="286" spans="1:70" x14ac:dyDescent="0.25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7"/>
      <c r="AR286" s="57"/>
      <c r="AS286" s="57"/>
      <c r="AT286" s="57"/>
      <c r="AU286" s="57"/>
      <c r="AV286" s="57"/>
      <c r="AW286" s="57"/>
      <c r="AX286" s="57"/>
      <c r="AY286" s="57"/>
      <c r="AZ286" s="57"/>
      <c r="BA286" s="57"/>
      <c r="BB286" s="57"/>
      <c r="BC286" s="57"/>
      <c r="BD286" s="57"/>
      <c r="BE286" s="57"/>
      <c r="BF286" s="57"/>
      <c r="BG286" s="57"/>
      <c r="BH286" s="57"/>
      <c r="BI286" s="57"/>
      <c r="BJ286" s="57"/>
      <c r="BK286" s="57"/>
      <c r="BL286" s="57"/>
      <c r="BM286" s="57"/>
      <c r="BN286" s="57"/>
      <c r="BO286" s="57"/>
      <c r="BP286" s="57"/>
      <c r="BQ286" s="57"/>
      <c r="BR286" s="57"/>
    </row>
    <row r="287" spans="1:70" x14ac:dyDescent="0.25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7"/>
      <c r="AR287" s="57"/>
      <c r="AS287" s="57"/>
      <c r="AT287" s="57"/>
      <c r="AU287" s="57"/>
      <c r="AV287" s="57"/>
      <c r="AW287" s="57"/>
      <c r="AX287" s="57"/>
      <c r="AY287" s="57"/>
      <c r="AZ287" s="57"/>
      <c r="BA287" s="57"/>
      <c r="BB287" s="57"/>
      <c r="BC287" s="57"/>
      <c r="BD287" s="57"/>
      <c r="BE287" s="57"/>
      <c r="BF287" s="57"/>
      <c r="BG287" s="57"/>
      <c r="BH287" s="57"/>
      <c r="BI287" s="57"/>
      <c r="BJ287" s="57"/>
      <c r="BK287" s="57"/>
      <c r="BL287" s="57"/>
      <c r="BM287" s="57"/>
      <c r="BN287" s="57"/>
      <c r="BO287" s="57"/>
      <c r="BP287" s="57"/>
      <c r="BQ287" s="57"/>
      <c r="BR287" s="57"/>
    </row>
    <row r="288" spans="1:70" x14ac:dyDescent="0.25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57"/>
      <c r="AE288" s="57"/>
      <c r="AF288" s="57"/>
      <c r="AG288" s="57"/>
      <c r="AH288" s="57"/>
      <c r="AI288" s="57"/>
      <c r="AJ288" s="57"/>
      <c r="AK288" s="57"/>
      <c r="AL288" s="57"/>
      <c r="AM288" s="57"/>
      <c r="AN288" s="57"/>
      <c r="AO288" s="57"/>
      <c r="AP288" s="57"/>
      <c r="AQ288" s="57"/>
      <c r="AR288" s="57"/>
      <c r="AS288" s="57"/>
      <c r="AT288" s="57"/>
      <c r="AU288" s="57"/>
      <c r="AV288" s="57"/>
      <c r="AW288" s="57"/>
      <c r="AX288" s="57"/>
      <c r="AY288" s="57"/>
      <c r="AZ288" s="57"/>
      <c r="BA288" s="57"/>
      <c r="BB288" s="57"/>
      <c r="BC288" s="57"/>
      <c r="BD288" s="57"/>
      <c r="BE288" s="57"/>
      <c r="BF288" s="57"/>
      <c r="BG288" s="57"/>
      <c r="BH288" s="57"/>
      <c r="BI288" s="57"/>
      <c r="BJ288" s="57"/>
      <c r="BK288" s="57"/>
      <c r="BL288" s="57"/>
      <c r="BM288" s="57"/>
      <c r="BN288" s="57"/>
      <c r="BO288" s="57"/>
      <c r="BP288" s="57"/>
      <c r="BQ288" s="57"/>
      <c r="BR288" s="57"/>
    </row>
    <row r="289" spans="1:70" x14ac:dyDescent="0.25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57"/>
      <c r="AE289" s="57"/>
      <c r="AF289" s="57"/>
      <c r="AG289" s="57"/>
      <c r="AH289" s="57"/>
      <c r="AI289" s="57"/>
      <c r="AJ289" s="57"/>
      <c r="AK289" s="57"/>
      <c r="AL289" s="57"/>
      <c r="AM289" s="57"/>
      <c r="AN289" s="57"/>
      <c r="AO289" s="57"/>
      <c r="AP289" s="57"/>
      <c r="AQ289" s="57"/>
      <c r="AR289" s="57"/>
      <c r="AS289" s="57"/>
      <c r="AT289" s="57"/>
      <c r="AU289" s="57"/>
      <c r="AV289" s="57"/>
      <c r="AW289" s="57"/>
      <c r="AX289" s="57"/>
      <c r="AY289" s="57"/>
      <c r="AZ289" s="57"/>
      <c r="BA289" s="57"/>
      <c r="BB289" s="57"/>
      <c r="BC289" s="57"/>
      <c r="BD289" s="57"/>
      <c r="BE289" s="57"/>
      <c r="BF289" s="57"/>
      <c r="BG289" s="57"/>
      <c r="BH289" s="57"/>
      <c r="BI289" s="57"/>
      <c r="BJ289" s="57"/>
      <c r="BK289" s="57"/>
      <c r="BL289" s="57"/>
      <c r="BM289" s="57"/>
      <c r="BN289" s="57"/>
      <c r="BO289" s="57"/>
      <c r="BP289" s="57"/>
      <c r="BQ289" s="57"/>
      <c r="BR289" s="57"/>
    </row>
    <row r="290" spans="1:70" x14ac:dyDescent="0.25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/>
      <c r="AE290" s="57"/>
      <c r="AF290" s="57"/>
      <c r="AG290" s="57"/>
      <c r="AH290" s="57"/>
      <c r="AI290" s="57"/>
      <c r="AJ290" s="57"/>
      <c r="AK290" s="57"/>
      <c r="AL290" s="57"/>
      <c r="AM290" s="57"/>
      <c r="AN290" s="57"/>
      <c r="AO290" s="57"/>
      <c r="AP290" s="57"/>
      <c r="AQ290" s="57"/>
      <c r="AR290" s="57"/>
      <c r="AS290" s="57"/>
      <c r="AT290" s="57"/>
      <c r="AU290" s="57"/>
      <c r="AV290" s="57"/>
      <c r="AW290" s="57"/>
      <c r="AX290" s="57"/>
      <c r="AY290" s="57"/>
      <c r="AZ290" s="57"/>
      <c r="BA290" s="57"/>
      <c r="BB290" s="57"/>
      <c r="BC290" s="57"/>
      <c r="BD290" s="57"/>
      <c r="BE290" s="57"/>
      <c r="BF290" s="57"/>
      <c r="BG290" s="57"/>
      <c r="BH290" s="57"/>
      <c r="BI290" s="57"/>
      <c r="BJ290" s="57"/>
      <c r="BK290" s="57"/>
      <c r="BL290" s="57"/>
      <c r="BM290" s="57"/>
      <c r="BN290" s="57"/>
      <c r="BO290" s="57"/>
      <c r="BP290" s="57"/>
      <c r="BQ290" s="57"/>
      <c r="BR290" s="57"/>
    </row>
    <row r="291" spans="1:70" x14ac:dyDescent="0.25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57"/>
      <c r="AE291" s="57"/>
      <c r="AF291" s="57"/>
      <c r="AG291" s="57"/>
      <c r="AH291" s="57"/>
      <c r="AI291" s="57"/>
      <c r="AJ291" s="57"/>
      <c r="AK291" s="57"/>
      <c r="AL291" s="57"/>
      <c r="AM291" s="57"/>
      <c r="AN291" s="57"/>
      <c r="AO291" s="57"/>
      <c r="AP291" s="57"/>
      <c r="AQ291" s="57"/>
      <c r="AR291" s="57"/>
      <c r="AS291" s="57"/>
      <c r="AT291" s="57"/>
      <c r="AU291" s="57"/>
      <c r="AV291" s="57"/>
      <c r="AW291" s="57"/>
      <c r="AX291" s="57"/>
      <c r="AY291" s="57"/>
      <c r="AZ291" s="57"/>
      <c r="BA291" s="57"/>
      <c r="BB291" s="57"/>
      <c r="BC291" s="57"/>
      <c r="BD291" s="57"/>
      <c r="BE291" s="57"/>
      <c r="BF291" s="57"/>
      <c r="BG291" s="57"/>
      <c r="BH291" s="57"/>
      <c r="BI291" s="57"/>
      <c r="BJ291" s="57"/>
      <c r="BK291" s="57"/>
      <c r="BL291" s="57"/>
      <c r="BM291" s="57"/>
      <c r="BN291" s="57"/>
      <c r="BO291" s="57"/>
      <c r="BP291" s="57"/>
      <c r="BQ291" s="57"/>
      <c r="BR291" s="57"/>
    </row>
    <row r="292" spans="1:70" x14ac:dyDescent="0.25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57"/>
      <c r="AE292" s="57"/>
      <c r="AF292" s="57"/>
      <c r="AG292" s="57"/>
      <c r="AH292" s="57"/>
      <c r="AI292" s="57"/>
      <c r="AJ292" s="57"/>
      <c r="AK292" s="57"/>
      <c r="AL292" s="57"/>
      <c r="AM292" s="57"/>
      <c r="AN292" s="57"/>
      <c r="AO292" s="57"/>
      <c r="AP292" s="57"/>
      <c r="AQ292" s="57"/>
      <c r="AR292" s="57"/>
      <c r="AS292" s="57"/>
      <c r="AT292" s="57"/>
      <c r="AU292" s="57"/>
      <c r="AV292" s="57"/>
      <c r="AW292" s="57"/>
      <c r="AX292" s="57"/>
      <c r="AY292" s="57"/>
      <c r="AZ292" s="57"/>
      <c r="BA292" s="57"/>
      <c r="BB292" s="57"/>
      <c r="BC292" s="57"/>
      <c r="BD292" s="57"/>
      <c r="BE292" s="57"/>
      <c r="BF292" s="57"/>
      <c r="BG292" s="57"/>
      <c r="BH292" s="57"/>
      <c r="BI292" s="57"/>
      <c r="BJ292" s="57"/>
      <c r="BK292" s="57"/>
      <c r="BL292" s="57"/>
      <c r="BM292" s="57"/>
      <c r="BN292" s="57"/>
      <c r="BO292" s="57"/>
      <c r="BP292" s="57"/>
      <c r="BQ292" s="57"/>
      <c r="BR292" s="57"/>
    </row>
    <row r="293" spans="1:70" x14ac:dyDescent="0.25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  <c r="AC293" s="57"/>
      <c r="AD293" s="57"/>
      <c r="AE293" s="57"/>
      <c r="AF293" s="57"/>
      <c r="AG293" s="57"/>
      <c r="AH293" s="57"/>
      <c r="AI293" s="57"/>
      <c r="AJ293" s="57"/>
      <c r="AK293" s="57"/>
      <c r="AL293" s="57"/>
      <c r="AM293" s="57"/>
      <c r="AN293" s="57"/>
      <c r="AO293" s="57"/>
      <c r="AP293" s="57"/>
      <c r="AQ293" s="57"/>
      <c r="AR293" s="57"/>
      <c r="AS293" s="57"/>
      <c r="AT293" s="57"/>
      <c r="AU293" s="57"/>
      <c r="AV293" s="57"/>
      <c r="AW293" s="57"/>
      <c r="AX293" s="57"/>
      <c r="AY293" s="57"/>
      <c r="AZ293" s="57"/>
      <c r="BA293" s="57"/>
      <c r="BB293" s="57"/>
      <c r="BC293" s="57"/>
      <c r="BD293" s="57"/>
      <c r="BE293" s="57"/>
      <c r="BF293" s="57"/>
      <c r="BG293" s="57"/>
      <c r="BH293" s="57"/>
      <c r="BI293" s="57"/>
      <c r="BJ293" s="57"/>
      <c r="BK293" s="57"/>
      <c r="BL293" s="57"/>
      <c r="BM293" s="57"/>
      <c r="BN293" s="57"/>
      <c r="BO293" s="57"/>
      <c r="BP293" s="57"/>
      <c r="BQ293" s="57"/>
      <c r="BR293" s="57"/>
    </row>
    <row r="294" spans="1:70" x14ac:dyDescent="0.25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  <c r="AG294" s="57"/>
      <c r="AH294" s="57"/>
      <c r="AI294" s="57"/>
      <c r="AJ294" s="57"/>
      <c r="AK294" s="57"/>
      <c r="AL294" s="57"/>
      <c r="AM294" s="57"/>
      <c r="AN294" s="57"/>
      <c r="AO294" s="57"/>
      <c r="AP294" s="57"/>
      <c r="AQ294" s="57"/>
      <c r="AR294" s="57"/>
      <c r="AS294" s="57"/>
      <c r="AT294" s="57"/>
      <c r="AU294" s="57"/>
      <c r="AV294" s="57"/>
      <c r="AW294" s="57"/>
      <c r="AX294" s="57"/>
      <c r="AY294" s="57"/>
      <c r="AZ294" s="57"/>
      <c r="BA294" s="57"/>
      <c r="BB294" s="57"/>
      <c r="BC294" s="57"/>
      <c r="BD294" s="57"/>
      <c r="BE294" s="57"/>
      <c r="BF294" s="57"/>
      <c r="BG294" s="57"/>
      <c r="BH294" s="57"/>
      <c r="BI294" s="57"/>
      <c r="BJ294" s="57"/>
      <c r="BK294" s="57"/>
      <c r="BL294" s="57"/>
      <c r="BM294" s="57"/>
      <c r="BN294" s="57"/>
      <c r="BO294" s="57"/>
      <c r="BP294" s="57"/>
      <c r="BQ294" s="57"/>
      <c r="BR294" s="57"/>
    </row>
    <row r="295" spans="1:70" x14ac:dyDescent="0.25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57"/>
      <c r="AE295" s="57"/>
      <c r="AF295" s="57"/>
      <c r="AG295" s="57"/>
      <c r="AH295" s="57"/>
      <c r="AI295" s="57"/>
      <c r="AJ295" s="57"/>
      <c r="AK295" s="57"/>
      <c r="AL295" s="57"/>
      <c r="AM295" s="57"/>
      <c r="AN295" s="57"/>
      <c r="AO295" s="57"/>
      <c r="AP295" s="57"/>
      <c r="AQ295" s="57"/>
      <c r="AR295" s="57"/>
      <c r="AS295" s="57"/>
      <c r="AT295" s="57"/>
      <c r="AU295" s="57"/>
      <c r="AV295" s="57"/>
      <c r="AW295" s="57"/>
      <c r="AX295" s="57"/>
      <c r="AY295" s="57"/>
      <c r="AZ295" s="57"/>
      <c r="BA295" s="57"/>
      <c r="BB295" s="57"/>
      <c r="BC295" s="57"/>
      <c r="BD295" s="57"/>
      <c r="BE295" s="57"/>
      <c r="BF295" s="57"/>
      <c r="BG295" s="57"/>
      <c r="BH295" s="57"/>
      <c r="BI295" s="57"/>
      <c r="BJ295" s="57"/>
      <c r="BK295" s="57"/>
      <c r="BL295" s="57"/>
      <c r="BM295" s="57"/>
      <c r="BN295" s="57"/>
      <c r="BO295" s="57"/>
      <c r="BP295" s="57"/>
      <c r="BQ295" s="57"/>
      <c r="BR295" s="57"/>
    </row>
    <row r="296" spans="1:70" x14ac:dyDescent="0.25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57"/>
      <c r="AE296" s="57"/>
      <c r="AF296" s="57"/>
      <c r="AG296" s="57"/>
      <c r="AH296" s="57"/>
      <c r="AI296" s="57"/>
      <c r="AJ296" s="57"/>
      <c r="AK296" s="57"/>
      <c r="AL296" s="57"/>
      <c r="AM296" s="57"/>
      <c r="AN296" s="57"/>
      <c r="AO296" s="57"/>
      <c r="AP296" s="57"/>
      <c r="AQ296" s="57"/>
      <c r="AR296" s="57"/>
      <c r="AS296" s="57"/>
      <c r="AT296" s="57"/>
      <c r="AU296" s="57"/>
      <c r="AV296" s="57"/>
      <c r="AW296" s="57"/>
      <c r="AX296" s="57"/>
      <c r="AY296" s="57"/>
      <c r="AZ296" s="57"/>
      <c r="BA296" s="57"/>
      <c r="BB296" s="57"/>
      <c r="BC296" s="57"/>
      <c r="BD296" s="57"/>
      <c r="BE296" s="57"/>
      <c r="BF296" s="57"/>
      <c r="BG296" s="57"/>
      <c r="BH296" s="57"/>
      <c r="BI296" s="57"/>
      <c r="BJ296" s="57"/>
      <c r="BK296" s="57"/>
      <c r="BL296" s="57"/>
      <c r="BM296" s="57"/>
      <c r="BN296" s="57"/>
      <c r="BO296" s="57"/>
      <c r="BP296" s="57"/>
      <c r="BQ296" s="57"/>
      <c r="BR296" s="57"/>
    </row>
    <row r="297" spans="1:70" x14ac:dyDescent="0.25">
      <c r="A297" s="57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  <c r="AB297" s="57"/>
      <c r="AC297" s="57"/>
      <c r="AD297" s="57"/>
      <c r="AE297" s="57"/>
      <c r="AF297" s="57"/>
      <c r="AG297" s="57"/>
      <c r="AH297" s="57"/>
      <c r="AI297" s="57"/>
      <c r="AJ297" s="57"/>
      <c r="AK297" s="57"/>
      <c r="AL297" s="57"/>
      <c r="AM297" s="57"/>
      <c r="AN297" s="57"/>
      <c r="AO297" s="57"/>
      <c r="AP297" s="57"/>
      <c r="AQ297" s="57"/>
      <c r="AR297" s="57"/>
      <c r="AS297" s="57"/>
      <c r="AT297" s="57"/>
      <c r="AU297" s="57"/>
      <c r="AV297" s="57"/>
      <c r="AW297" s="57"/>
      <c r="AX297" s="57"/>
      <c r="AY297" s="57"/>
      <c r="AZ297" s="57"/>
      <c r="BA297" s="57"/>
      <c r="BB297" s="57"/>
      <c r="BC297" s="57"/>
      <c r="BD297" s="57"/>
      <c r="BE297" s="57"/>
      <c r="BF297" s="57"/>
      <c r="BG297" s="57"/>
      <c r="BH297" s="57"/>
      <c r="BI297" s="57"/>
      <c r="BJ297" s="57"/>
      <c r="BK297" s="57"/>
      <c r="BL297" s="57"/>
      <c r="BM297" s="57"/>
      <c r="BN297" s="57"/>
      <c r="BO297" s="57"/>
      <c r="BP297" s="57"/>
      <c r="BQ297" s="57"/>
      <c r="BR297" s="57"/>
    </row>
    <row r="298" spans="1:70" x14ac:dyDescent="0.25">
      <c r="A298" s="57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  <c r="AC298" s="57"/>
      <c r="AD298" s="57"/>
      <c r="AE298" s="57"/>
      <c r="AF298" s="57"/>
      <c r="AG298" s="57"/>
      <c r="AH298" s="57"/>
      <c r="AI298" s="57"/>
      <c r="AJ298" s="57"/>
      <c r="AK298" s="57"/>
      <c r="AL298" s="57"/>
      <c r="AM298" s="57"/>
      <c r="AN298" s="57"/>
      <c r="AO298" s="57"/>
      <c r="AP298" s="57"/>
      <c r="AQ298" s="57"/>
      <c r="AR298" s="57"/>
      <c r="AS298" s="57"/>
      <c r="AT298" s="57"/>
      <c r="AU298" s="57"/>
      <c r="AV298" s="57"/>
      <c r="AW298" s="57"/>
      <c r="AX298" s="57"/>
      <c r="AY298" s="57"/>
      <c r="AZ298" s="57"/>
      <c r="BA298" s="57"/>
      <c r="BB298" s="57"/>
      <c r="BC298" s="57"/>
      <c r="BD298" s="57"/>
      <c r="BE298" s="57"/>
      <c r="BF298" s="57"/>
      <c r="BG298" s="57"/>
      <c r="BH298" s="57"/>
      <c r="BI298" s="57"/>
      <c r="BJ298" s="57"/>
      <c r="BK298" s="57"/>
      <c r="BL298" s="57"/>
      <c r="BM298" s="57"/>
      <c r="BN298" s="57"/>
      <c r="BO298" s="57"/>
      <c r="BP298" s="57"/>
      <c r="BQ298" s="57"/>
      <c r="BR298" s="57"/>
    </row>
    <row r="299" spans="1:70" x14ac:dyDescent="0.25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  <c r="AB299" s="57"/>
      <c r="AC299" s="57"/>
      <c r="AD299" s="57"/>
      <c r="AE299" s="57"/>
      <c r="AF299" s="57"/>
      <c r="AG299" s="57"/>
      <c r="AH299" s="57"/>
      <c r="AI299" s="57"/>
      <c r="AJ299" s="57"/>
      <c r="AK299" s="57"/>
      <c r="AL299" s="57"/>
      <c r="AM299" s="57"/>
      <c r="AN299" s="57"/>
      <c r="AO299" s="57"/>
      <c r="AP299" s="57"/>
      <c r="AQ299" s="57"/>
      <c r="AR299" s="57"/>
      <c r="AS299" s="57"/>
      <c r="AT299" s="57"/>
      <c r="AU299" s="57"/>
      <c r="AV299" s="57"/>
      <c r="AW299" s="57"/>
      <c r="AX299" s="57"/>
      <c r="AY299" s="57"/>
      <c r="AZ299" s="57"/>
      <c r="BA299" s="57"/>
      <c r="BB299" s="57"/>
      <c r="BC299" s="57"/>
      <c r="BD299" s="57"/>
      <c r="BE299" s="57"/>
      <c r="BF299" s="57"/>
      <c r="BG299" s="57"/>
      <c r="BH299" s="57"/>
      <c r="BI299" s="57"/>
      <c r="BJ299" s="57"/>
      <c r="BK299" s="57"/>
      <c r="BL299" s="57"/>
      <c r="BM299" s="57"/>
      <c r="BN299" s="57"/>
      <c r="BO299" s="57"/>
      <c r="BP299" s="57"/>
      <c r="BQ299" s="57"/>
      <c r="BR299" s="57"/>
    </row>
    <row r="300" spans="1:70" x14ac:dyDescent="0.25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  <c r="AC300" s="57"/>
      <c r="AD300" s="57"/>
      <c r="AE300" s="57"/>
      <c r="AF300" s="57"/>
      <c r="AG300" s="57"/>
      <c r="AH300" s="57"/>
      <c r="AI300" s="57"/>
      <c r="AJ300" s="57"/>
      <c r="AK300" s="57"/>
      <c r="AL300" s="57"/>
      <c r="AM300" s="57"/>
      <c r="AN300" s="57"/>
      <c r="AO300" s="57"/>
      <c r="AP300" s="57"/>
      <c r="AQ300" s="57"/>
      <c r="AR300" s="57"/>
      <c r="AS300" s="57"/>
      <c r="AT300" s="57"/>
      <c r="AU300" s="57"/>
      <c r="AV300" s="57"/>
      <c r="AW300" s="57"/>
      <c r="AX300" s="57"/>
      <c r="AY300" s="57"/>
      <c r="AZ300" s="57"/>
      <c r="BA300" s="57"/>
      <c r="BB300" s="57"/>
      <c r="BC300" s="57"/>
      <c r="BD300" s="57"/>
      <c r="BE300" s="57"/>
      <c r="BF300" s="57"/>
      <c r="BG300" s="57"/>
      <c r="BH300" s="57"/>
      <c r="BI300" s="57"/>
      <c r="BJ300" s="57"/>
      <c r="BK300" s="57"/>
      <c r="BL300" s="57"/>
      <c r="BM300" s="57"/>
      <c r="BN300" s="57"/>
      <c r="BO300" s="57"/>
      <c r="BP300" s="57"/>
      <c r="BQ300" s="57"/>
      <c r="BR300" s="57"/>
    </row>
    <row r="301" spans="1:70" x14ac:dyDescent="0.25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  <c r="AB301" s="57"/>
      <c r="AC301" s="57"/>
      <c r="AD301" s="57"/>
      <c r="AE301" s="57"/>
      <c r="AF301" s="57"/>
      <c r="AG301" s="57"/>
      <c r="AH301" s="57"/>
      <c r="AI301" s="57"/>
      <c r="AJ301" s="57"/>
      <c r="AK301" s="57"/>
      <c r="AL301" s="57"/>
      <c r="AM301" s="57"/>
      <c r="AN301" s="57"/>
      <c r="AO301" s="57"/>
      <c r="AP301" s="57"/>
      <c r="AQ301" s="57"/>
      <c r="AR301" s="57"/>
      <c r="AS301" s="57"/>
      <c r="AT301" s="57"/>
      <c r="AU301" s="57"/>
      <c r="AV301" s="57"/>
      <c r="AW301" s="57"/>
      <c r="AX301" s="57"/>
      <c r="AY301" s="57"/>
      <c r="AZ301" s="57"/>
      <c r="BA301" s="57"/>
      <c r="BB301" s="57"/>
      <c r="BC301" s="57"/>
      <c r="BD301" s="57"/>
      <c r="BE301" s="57"/>
      <c r="BF301" s="57"/>
      <c r="BG301" s="57"/>
      <c r="BH301" s="57"/>
      <c r="BI301" s="57"/>
      <c r="BJ301" s="57"/>
      <c r="BK301" s="57"/>
      <c r="BL301" s="57"/>
      <c r="BM301" s="57"/>
      <c r="BN301" s="57"/>
      <c r="BO301" s="57"/>
      <c r="BP301" s="57"/>
      <c r="BQ301" s="57"/>
      <c r="BR301" s="57"/>
    </row>
    <row r="302" spans="1:70" x14ac:dyDescent="0.25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  <c r="AC302" s="57"/>
      <c r="AD302" s="57"/>
      <c r="AE302" s="57"/>
      <c r="AF302" s="57"/>
      <c r="AG302" s="57"/>
      <c r="AH302" s="57"/>
      <c r="AI302" s="57"/>
      <c r="AJ302" s="57"/>
      <c r="AK302" s="57"/>
      <c r="AL302" s="57"/>
      <c r="AM302" s="57"/>
      <c r="AN302" s="57"/>
      <c r="AO302" s="57"/>
      <c r="AP302" s="57"/>
      <c r="AQ302" s="57"/>
      <c r="AR302" s="57"/>
      <c r="AS302" s="57"/>
      <c r="AT302" s="57"/>
      <c r="AU302" s="57"/>
      <c r="AV302" s="57"/>
      <c r="AW302" s="57"/>
      <c r="AX302" s="57"/>
      <c r="AY302" s="57"/>
      <c r="AZ302" s="57"/>
      <c r="BA302" s="57"/>
      <c r="BB302" s="57"/>
      <c r="BC302" s="57"/>
      <c r="BD302" s="57"/>
      <c r="BE302" s="57"/>
      <c r="BF302" s="57"/>
      <c r="BG302" s="57"/>
      <c r="BH302" s="57"/>
      <c r="BI302" s="57"/>
      <c r="BJ302" s="57"/>
      <c r="BK302" s="57"/>
      <c r="BL302" s="57"/>
      <c r="BM302" s="57"/>
      <c r="BN302" s="57"/>
      <c r="BO302" s="57"/>
      <c r="BP302" s="57"/>
      <c r="BQ302" s="57"/>
      <c r="BR302" s="57"/>
    </row>
    <row r="303" spans="1:70" x14ac:dyDescent="0.25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  <c r="AB303" s="57"/>
      <c r="AC303" s="57"/>
      <c r="AD303" s="57"/>
      <c r="AE303" s="57"/>
      <c r="AF303" s="57"/>
      <c r="AG303" s="57"/>
      <c r="AH303" s="57"/>
      <c r="AI303" s="57"/>
      <c r="AJ303" s="57"/>
      <c r="AK303" s="57"/>
      <c r="AL303" s="57"/>
      <c r="AM303" s="57"/>
      <c r="AN303" s="57"/>
      <c r="AO303" s="57"/>
      <c r="AP303" s="57"/>
      <c r="AQ303" s="57"/>
      <c r="AR303" s="57"/>
      <c r="AS303" s="57"/>
      <c r="AT303" s="57"/>
      <c r="AU303" s="57"/>
      <c r="AV303" s="57"/>
      <c r="AW303" s="57"/>
      <c r="AX303" s="57"/>
      <c r="AY303" s="57"/>
      <c r="AZ303" s="57"/>
      <c r="BA303" s="57"/>
      <c r="BB303" s="57"/>
      <c r="BC303" s="57"/>
      <c r="BD303" s="57"/>
      <c r="BE303" s="57"/>
      <c r="BF303" s="57"/>
      <c r="BG303" s="57"/>
      <c r="BH303" s="57"/>
      <c r="BI303" s="57"/>
      <c r="BJ303" s="57"/>
      <c r="BK303" s="57"/>
      <c r="BL303" s="57"/>
      <c r="BM303" s="57"/>
      <c r="BN303" s="57"/>
      <c r="BO303" s="57"/>
      <c r="BP303" s="57"/>
      <c r="BQ303" s="57"/>
      <c r="BR303" s="57"/>
    </row>
    <row r="304" spans="1:70" x14ac:dyDescent="0.25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  <c r="AB304" s="57"/>
      <c r="AC304" s="57"/>
      <c r="AD304" s="57"/>
      <c r="AE304" s="57"/>
      <c r="AF304" s="57"/>
      <c r="AG304" s="57"/>
      <c r="AH304" s="57"/>
      <c r="AI304" s="57"/>
      <c r="AJ304" s="57"/>
      <c r="AK304" s="57"/>
      <c r="AL304" s="57"/>
      <c r="AM304" s="57"/>
      <c r="AN304" s="57"/>
      <c r="AO304" s="57"/>
      <c r="AP304" s="57"/>
      <c r="AQ304" s="57"/>
      <c r="AR304" s="57"/>
      <c r="AS304" s="57"/>
      <c r="AT304" s="57"/>
      <c r="AU304" s="57"/>
      <c r="AV304" s="57"/>
      <c r="AW304" s="57"/>
      <c r="AX304" s="57"/>
      <c r="AY304" s="57"/>
      <c r="AZ304" s="57"/>
      <c r="BA304" s="57"/>
      <c r="BB304" s="57"/>
      <c r="BC304" s="57"/>
      <c r="BD304" s="57"/>
      <c r="BE304" s="57"/>
      <c r="BF304" s="57"/>
      <c r="BG304" s="57"/>
      <c r="BH304" s="57"/>
      <c r="BI304" s="57"/>
      <c r="BJ304" s="57"/>
      <c r="BK304" s="57"/>
      <c r="BL304" s="57"/>
      <c r="BM304" s="57"/>
      <c r="BN304" s="57"/>
      <c r="BO304" s="57"/>
      <c r="BP304" s="57"/>
      <c r="BQ304" s="57"/>
      <c r="BR304" s="57"/>
    </row>
    <row r="305" spans="1:70" x14ac:dyDescent="0.25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  <c r="AB305" s="57"/>
      <c r="AC305" s="57"/>
      <c r="AD305" s="57"/>
      <c r="AE305" s="57"/>
      <c r="AF305" s="57"/>
      <c r="AG305" s="57"/>
      <c r="AH305" s="57"/>
      <c r="AI305" s="57"/>
      <c r="AJ305" s="57"/>
      <c r="AK305" s="57"/>
      <c r="AL305" s="57"/>
      <c r="AM305" s="57"/>
      <c r="AN305" s="57"/>
      <c r="AO305" s="57"/>
      <c r="AP305" s="57"/>
      <c r="AQ305" s="57"/>
      <c r="AR305" s="57"/>
      <c r="AS305" s="57"/>
      <c r="AT305" s="57"/>
      <c r="AU305" s="57"/>
      <c r="AV305" s="57"/>
      <c r="AW305" s="57"/>
      <c r="AX305" s="57"/>
      <c r="AY305" s="57"/>
      <c r="AZ305" s="57"/>
      <c r="BA305" s="57"/>
      <c r="BB305" s="57"/>
      <c r="BC305" s="57"/>
      <c r="BD305" s="57"/>
      <c r="BE305" s="57"/>
      <c r="BF305" s="57"/>
      <c r="BG305" s="57"/>
      <c r="BH305" s="57"/>
      <c r="BI305" s="57"/>
      <c r="BJ305" s="57"/>
      <c r="BK305" s="57"/>
      <c r="BL305" s="57"/>
      <c r="BM305" s="57"/>
      <c r="BN305" s="57"/>
      <c r="BO305" s="57"/>
      <c r="BP305" s="57"/>
      <c r="BQ305" s="57"/>
      <c r="BR305" s="57"/>
    </row>
    <row r="306" spans="1:70" x14ac:dyDescent="0.25">
      <c r="A306" s="57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  <c r="AB306" s="57"/>
      <c r="AC306" s="57"/>
      <c r="AD306" s="57"/>
      <c r="AE306" s="57"/>
      <c r="AF306" s="57"/>
      <c r="AG306" s="57"/>
      <c r="AH306" s="57"/>
      <c r="AI306" s="57"/>
      <c r="AJ306" s="57"/>
      <c r="AK306" s="57"/>
      <c r="AL306" s="57"/>
      <c r="AM306" s="57"/>
      <c r="AN306" s="57"/>
      <c r="AO306" s="57"/>
      <c r="AP306" s="57"/>
      <c r="AQ306" s="57"/>
      <c r="AR306" s="57"/>
      <c r="AS306" s="57"/>
      <c r="AT306" s="57"/>
      <c r="AU306" s="57"/>
      <c r="AV306" s="57"/>
      <c r="AW306" s="57"/>
      <c r="AX306" s="57"/>
      <c r="AY306" s="57"/>
      <c r="AZ306" s="57"/>
      <c r="BA306" s="57"/>
      <c r="BB306" s="57"/>
      <c r="BC306" s="57"/>
      <c r="BD306" s="57"/>
      <c r="BE306" s="57"/>
      <c r="BF306" s="57"/>
      <c r="BG306" s="57"/>
      <c r="BH306" s="57"/>
      <c r="BI306" s="57"/>
      <c r="BJ306" s="57"/>
      <c r="BK306" s="57"/>
      <c r="BL306" s="57"/>
      <c r="BM306" s="57"/>
      <c r="BN306" s="57"/>
      <c r="BO306" s="57"/>
      <c r="BP306" s="57"/>
      <c r="BQ306" s="57"/>
      <c r="BR306" s="57"/>
    </row>
    <row r="307" spans="1:70" x14ac:dyDescent="0.25">
      <c r="A307" s="57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  <c r="AB307" s="57"/>
      <c r="AC307" s="57"/>
      <c r="AD307" s="57"/>
      <c r="AE307" s="57"/>
      <c r="AF307" s="57"/>
      <c r="AG307" s="57"/>
      <c r="AH307" s="57"/>
      <c r="AI307" s="57"/>
      <c r="AJ307" s="57"/>
      <c r="AK307" s="57"/>
      <c r="AL307" s="57"/>
      <c r="AM307" s="57"/>
      <c r="AN307" s="57"/>
      <c r="AO307" s="57"/>
      <c r="AP307" s="57"/>
      <c r="AQ307" s="57"/>
      <c r="AR307" s="57"/>
      <c r="AS307" s="57"/>
      <c r="AT307" s="57"/>
      <c r="AU307" s="57"/>
      <c r="AV307" s="57"/>
      <c r="AW307" s="57"/>
      <c r="AX307" s="57"/>
      <c r="AY307" s="57"/>
      <c r="AZ307" s="57"/>
      <c r="BA307" s="57"/>
      <c r="BB307" s="57"/>
      <c r="BC307" s="57"/>
      <c r="BD307" s="57"/>
      <c r="BE307" s="57"/>
      <c r="BF307" s="57"/>
      <c r="BG307" s="57"/>
      <c r="BH307" s="57"/>
      <c r="BI307" s="57"/>
      <c r="BJ307" s="57"/>
      <c r="BK307" s="57"/>
      <c r="BL307" s="57"/>
      <c r="BM307" s="57"/>
      <c r="BN307" s="57"/>
      <c r="BO307" s="57"/>
      <c r="BP307" s="57"/>
      <c r="BQ307" s="57"/>
      <c r="BR307" s="57"/>
    </row>
    <row r="308" spans="1:70" x14ac:dyDescent="0.25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  <c r="AB308" s="57"/>
      <c r="AC308" s="57"/>
      <c r="AD308" s="57"/>
      <c r="AE308" s="57"/>
      <c r="AF308" s="57"/>
      <c r="AG308" s="57"/>
      <c r="AH308" s="57"/>
      <c r="AI308" s="57"/>
      <c r="AJ308" s="57"/>
      <c r="AK308" s="57"/>
      <c r="AL308" s="57"/>
      <c r="AM308" s="57"/>
      <c r="AN308" s="57"/>
      <c r="AO308" s="57"/>
      <c r="AP308" s="57"/>
      <c r="AQ308" s="57"/>
      <c r="AR308" s="57"/>
      <c r="AS308" s="57"/>
      <c r="AT308" s="57"/>
      <c r="AU308" s="57"/>
      <c r="AV308" s="57"/>
      <c r="AW308" s="57"/>
      <c r="AX308" s="57"/>
      <c r="AY308" s="57"/>
      <c r="AZ308" s="57"/>
      <c r="BA308" s="57"/>
      <c r="BB308" s="57"/>
      <c r="BC308" s="57"/>
      <c r="BD308" s="57"/>
      <c r="BE308" s="57"/>
      <c r="BF308" s="57"/>
      <c r="BG308" s="57"/>
      <c r="BH308" s="57"/>
      <c r="BI308" s="57"/>
      <c r="BJ308" s="57"/>
      <c r="BK308" s="57"/>
      <c r="BL308" s="57"/>
      <c r="BM308" s="57"/>
      <c r="BN308" s="57"/>
      <c r="BO308" s="57"/>
      <c r="BP308" s="57"/>
      <c r="BQ308" s="57"/>
      <c r="BR308" s="57"/>
    </row>
    <row r="309" spans="1:70" x14ac:dyDescent="0.25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  <c r="AB309" s="57"/>
      <c r="AC309" s="57"/>
      <c r="AD309" s="57"/>
      <c r="AE309" s="57"/>
      <c r="AF309" s="57"/>
      <c r="AG309" s="57"/>
      <c r="AH309" s="57"/>
      <c r="AI309" s="57"/>
      <c r="AJ309" s="57"/>
      <c r="AK309" s="57"/>
      <c r="AL309" s="57"/>
      <c r="AM309" s="57"/>
      <c r="AN309" s="57"/>
      <c r="AO309" s="57"/>
      <c r="AP309" s="57"/>
      <c r="AQ309" s="57"/>
      <c r="AR309" s="57"/>
      <c r="AS309" s="57"/>
      <c r="AT309" s="57"/>
      <c r="AU309" s="57"/>
      <c r="AV309" s="57"/>
      <c r="AW309" s="57"/>
      <c r="AX309" s="57"/>
      <c r="AY309" s="57"/>
      <c r="AZ309" s="57"/>
      <c r="BA309" s="57"/>
      <c r="BB309" s="57"/>
      <c r="BC309" s="57"/>
      <c r="BD309" s="57"/>
      <c r="BE309" s="57"/>
      <c r="BF309" s="57"/>
      <c r="BG309" s="57"/>
      <c r="BH309" s="57"/>
      <c r="BI309" s="57"/>
      <c r="BJ309" s="57"/>
      <c r="BK309" s="57"/>
      <c r="BL309" s="57"/>
      <c r="BM309" s="57"/>
      <c r="BN309" s="57"/>
      <c r="BO309" s="57"/>
      <c r="BP309" s="57"/>
      <c r="BQ309" s="57"/>
      <c r="BR309" s="57"/>
    </row>
    <row r="310" spans="1:70" x14ac:dyDescent="0.25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  <c r="AC310" s="57"/>
      <c r="AD310" s="57"/>
      <c r="AE310" s="57"/>
      <c r="AF310" s="57"/>
      <c r="AG310" s="57"/>
      <c r="AH310" s="57"/>
      <c r="AI310" s="57"/>
      <c r="AJ310" s="57"/>
      <c r="AK310" s="57"/>
      <c r="AL310" s="57"/>
      <c r="AM310" s="57"/>
      <c r="AN310" s="57"/>
      <c r="AO310" s="57"/>
      <c r="AP310" s="57"/>
      <c r="AQ310" s="57"/>
      <c r="AR310" s="57"/>
      <c r="AS310" s="57"/>
      <c r="AT310" s="57"/>
      <c r="AU310" s="57"/>
      <c r="AV310" s="57"/>
      <c r="AW310" s="57"/>
      <c r="AX310" s="57"/>
      <c r="AY310" s="57"/>
      <c r="AZ310" s="57"/>
      <c r="BA310" s="57"/>
      <c r="BB310" s="57"/>
      <c r="BC310" s="57"/>
      <c r="BD310" s="57"/>
      <c r="BE310" s="57"/>
      <c r="BF310" s="57"/>
      <c r="BG310" s="57"/>
      <c r="BH310" s="57"/>
      <c r="BI310" s="57"/>
      <c r="BJ310" s="57"/>
      <c r="BK310" s="57"/>
      <c r="BL310" s="57"/>
      <c r="BM310" s="57"/>
      <c r="BN310" s="57"/>
      <c r="BO310" s="57"/>
      <c r="BP310" s="57"/>
      <c r="BQ310" s="57"/>
      <c r="BR310" s="57"/>
    </row>
    <row r="311" spans="1:70" x14ac:dyDescent="0.25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  <c r="AB311" s="57"/>
      <c r="AC311" s="57"/>
      <c r="AD311" s="57"/>
      <c r="AE311" s="57"/>
      <c r="AF311" s="57"/>
      <c r="AG311" s="57"/>
      <c r="AH311" s="57"/>
      <c r="AI311" s="57"/>
      <c r="AJ311" s="57"/>
      <c r="AK311" s="57"/>
      <c r="AL311" s="57"/>
      <c r="AM311" s="57"/>
      <c r="AN311" s="57"/>
      <c r="AO311" s="57"/>
      <c r="AP311" s="57"/>
      <c r="AQ311" s="57"/>
      <c r="AR311" s="57"/>
      <c r="AS311" s="57"/>
      <c r="AT311" s="57"/>
      <c r="AU311" s="57"/>
      <c r="AV311" s="57"/>
      <c r="AW311" s="57"/>
      <c r="AX311" s="57"/>
      <c r="AY311" s="57"/>
      <c r="AZ311" s="57"/>
      <c r="BA311" s="57"/>
      <c r="BB311" s="57"/>
      <c r="BC311" s="57"/>
      <c r="BD311" s="57"/>
      <c r="BE311" s="57"/>
      <c r="BF311" s="57"/>
      <c r="BG311" s="57"/>
      <c r="BH311" s="57"/>
      <c r="BI311" s="57"/>
      <c r="BJ311" s="57"/>
      <c r="BK311" s="57"/>
      <c r="BL311" s="57"/>
      <c r="BM311" s="57"/>
      <c r="BN311" s="57"/>
      <c r="BO311" s="57"/>
      <c r="BP311" s="57"/>
      <c r="BQ311" s="57"/>
      <c r="BR311" s="57"/>
    </row>
    <row r="312" spans="1:70" x14ac:dyDescent="0.25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  <c r="AB312" s="57"/>
      <c r="AC312" s="57"/>
      <c r="AD312" s="57"/>
      <c r="AE312" s="57"/>
      <c r="AF312" s="57"/>
      <c r="AG312" s="57"/>
      <c r="AH312" s="57"/>
      <c r="AI312" s="57"/>
      <c r="AJ312" s="57"/>
      <c r="AK312" s="57"/>
      <c r="AL312" s="57"/>
      <c r="AM312" s="57"/>
      <c r="AN312" s="57"/>
      <c r="AO312" s="57"/>
      <c r="AP312" s="57"/>
      <c r="AQ312" s="57"/>
      <c r="AR312" s="57"/>
      <c r="AS312" s="57"/>
      <c r="AT312" s="57"/>
      <c r="AU312" s="57"/>
      <c r="AV312" s="57"/>
      <c r="AW312" s="57"/>
      <c r="AX312" s="57"/>
      <c r="AY312" s="57"/>
      <c r="AZ312" s="57"/>
      <c r="BA312" s="57"/>
      <c r="BB312" s="57"/>
      <c r="BC312" s="57"/>
      <c r="BD312" s="57"/>
      <c r="BE312" s="57"/>
      <c r="BF312" s="57"/>
      <c r="BG312" s="57"/>
      <c r="BH312" s="57"/>
      <c r="BI312" s="57"/>
      <c r="BJ312" s="57"/>
      <c r="BK312" s="57"/>
      <c r="BL312" s="57"/>
      <c r="BM312" s="57"/>
      <c r="BN312" s="57"/>
      <c r="BO312" s="57"/>
      <c r="BP312" s="57"/>
      <c r="BQ312" s="57"/>
      <c r="BR312" s="57"/>
    </row>
    <row r="313" spans="1:70" x14ac:dyDescent="0.25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  <c r="AB313" s="57"/>
      <c r="AC313" s="57"/>
      <c r="AD313" s="57"/>
      <c r="AE313" s="57"/>
      <c r="AF313" s="57"/>
      <c r="AG313" s="57"/>
      <c r="AH313" s="57"/>
      <c r="AI313" s="57"/>
      <c r="AJ313" s="57"/>
      <c r="AK313" s="57"/>
      <c r="AL313" s="57"/>
      <c r="AM313" s="57"/>
      <c r="AN313" s="57"/>
      <c r="AO313" s="57"/>
      <c r="AP313" s="57"/>
      <c r="AQ313" s="57"/>
      <c r="AR313" s="57"/>
      <c r="AS313" s="57"/>
      <c r="AT313" s="57"/>
      <c r="AU313" s="57"/>
      <c r="AV313" s="57"/>
      <c r="AW313" s="57"/>
      <c r="AX313" s="57"/>
      <c r="AY313" s="57"/>
      <c r="AZ313" s="57"/>
      <c r="BA313" s="57"/>
      <c r="BB313" s="57"/>
      <c r="BC313" s="57"/>
      <c r="BD313" s="57"/>
      <c r="BE313" s="57"/>
      <c r="BF313" s="57"/>
      <c r="BG313" s="57"/>
      <c r="BH313" s="57"/>
      <c r="BI313" s="57"/>
      <c r="BJ313" s="57"/>
      <c r="BK313" s="57"/>
      <c r="BL313" s="57"/>
      <c r="BM313" s="57"/>
      <c r="BN313" s="57"/>
      <c r="BO313" s="57"/>
      <c r="BP313" s="57"/>
      <c r="BQ313" s="57"/>
      <c r="BR313" s="57"/>
    </row>
    <row r="314" spans="1:70" x14ac:dyDescent="0.25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  <c r="AC314" s="57"/>
      <c r="AD314" s="57"/>
      <c r="AE314" s="57"/>
      <c r="AF314" s="57"/>
      <c r="AG314" s="57"/>
      <c r="AH314" s="57"/>
      <c r="AI314" s="57"/>
      <c r="AJ314" s="57"/>
      <c r="AK314" s="57"/>
      <c r="AL314" s="57"/>
      <c r="AM314" s="57"/>
      <c r="AN314" s="57"/>
      <c r="AO314" s="57"/>
      <c r="AP314" s="57"/>
      <c r="AQ314" s="57"/>
      <c r="AR314" s="57"/>
      <c r="AS314" s="57"/>
      <c r="AT314" s="57"/>
      <c r="AU314" s="57"/>
      <c r="AV314" s="57"/>
      <c r="AW314" s="57"/>
      <c r="AX314" s="57"/>
      <c r="AY314" s="57"/>
      <c r="AZ314" s="57"/>
      <c r="BA314" s="57"/>
      <c r="BB314" s="57"/>
      <c r="BC314" s="57"/>
      <c r="BD314" s="57"/>
      <c r="BE314" s="57"/>
      <c r="BF314" s="57"/>
      <c r="BG314" s="57"/>
      <c r="BH314" s="57"/>
      <c r="BI314" s="57"/>
      <c r="BJ314" s="57"/>
      <c r="BK314" s="57"/>
      <c r="BL314" s="57"/>
      <c r="BM314" s="57"/>
      <c r="BN314" s="57"/>
      <c r="BO314" s="57"/>
      <c r="BP314" s="57"/>
      <c r="BQ314" s="57"/>
      <c r="BR314" s="57"/>
    </row>
    <row r="315" spans="1:70" x14ac:dyDescent="0.25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  <c r="AB315" s="57"/>
      <c r="AC315" s="57"/>
      <c r="AD315" s="57"/>
      <c r="AE315" s="57"/>
      <c r="AF315" s="57"/>
      <c r="AG315" s="57"/>
      <c r="AH315" s="57"/>
      <c r="AI315" s="57"/>
      <c r="AJ315" s="57"/>
      <c r="AK315" s="57"/>
      <c r="AL315" s="57"/>
      <c r="AM315" s="57"/>
      <c r="AN315" s="57"/>
      <c r="AO315" s="57"/>
      <c r="AP315" s="57"/>
      <c r="AQ315" s="57"/>
      <c r="AR315" s="57"/>
      <c r="AS315" s="57"/>
      <c r="AT315" s="57"/>
      <c r="AU315" s="57"/>
      <c r="AV315" s="57"/>
      <c r="AW315" s="57"/>
      <c r="AX315" s="57"/>
      <c r="AY315" s="57"/>
      <c r="AZ315" s="57"/>
      <c r="BA315" s="57"/>
      <c r="BB315" s="57"/>
      <c r="BC315" s="57"/>
      <c r="BD315" s="57"/>
      <c r="BE315" s="57"/>
      <c r="BF315" s="57"/>
      <c r="BG315" s="57"/>
      <c r="BH315" s="57"/>
      <c r="BI315" s="57"/>
      <c r="BJ315" s="57"/>
      <c r="BK315" s="57"/>
      <c r="BL315" s="57"/>
      <c r="BM315" s="57"/>
      <c r="BN315" s="57"/>
      <c r="BO315" s="57"/>
      <c r="BP315" s="57"/>
      <c r="BQ315" s="57"/>
      <c r="BR315" s="57"/>
    </row>
    <row r="316" spans="1:70" x14ac:dyDescent="0.25">
      <c r="A316" s="57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  <c r="AC316" s="57"/>
      <c r="AD316" s="57"/>
      <c r="AE316" s="57"/>
      <c r="AF316" s="57"/>
      <c r="AG316" s="57"/>
      <c r="AH316" s="57"/>
      <c r="AI316" s="57"/>
      <c r="AJ316" s="57"/>
      <c r="AK316" s="57"/>
      <c r="AL316" s="57"/>
      <c r="AM316" s="57"/>
      <c r="AN316" s="57"/>
      <c r="AO316" s="57"/>
      <c r="AP316" s="57"/>
      <c r="AQ316" s="57"/>
      <c r="AR316" s="57"/>
      <c r="AS316" s="57"/>
      <c r="AT316" s="57"/>
      <c r="AU316" s="57"/>
      <c r="AV316" s="57"/>
      <c r="AW316" s="57"/>
      <c r="AX316" s="57"/>
      <c r="AY316" s="57"/>
      <c r="AZ316" s="57"/>
      <c r="BA316" s="57"/>
      <c r="BB316" s="57"/>
      <c r="BC316" s="57"/>
      <c r="BD316" s="57"/>
      <c r="BE316" s="57"/>
      <c r="BF316" s="57"/>
      <c r="BG316" s="57"/>
      <c r="BH316" s="57"/>
      <c r="BI316" s="57"/>
      <c r="BJ316" s="57"/>
      <c r="BK316" s="57"/>
      <c r="BL316" s="57"/>
      <c r="BM316" s="57"/>
      <c r="BN316" s="57"/>
      <c r="BO316" s="57"/>
      <c r="BP316" s="57"/>
      <c r="BQ316" s="57"/>
      <c r="BR316" s="57"/>
    </row>
    <row r="317" spans="1:70" x14ac:dyDescent="0.25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  <c r="AB317" s="57"/>
      <c r="AC317" s="57"/>
      <c r="AD317" s="57"/>
      <c r="AE317" s="57"/>
      <c r="AF317" s="57"/>
      <c r="AG317" s="57"/>
      <c r="AH317" s="57"/>
      <c r="AI317" s="57"/>
      <c r="AJ317" s="57"/>
      <c r="AK317" s="57"/>
      <c r="AL317" s="57"/>
      <c r="AM317" s="57"/>
      <c r="AN317" s="57"/>
      <c r="AO317" s="57"/>
      <c r="AP317" s="57"/>
      <c r="AQ317" s="57"/>
      <c r="AR317" s="57"/>
      <c r="AS317" s="57"/>
      <c r="AT317" s="57"/>
      <c r="AU317" s="57"/>
      <c r="AV317" s="57"/>
      <c r="AW317" s="57"/>
      <c r="AX317" s="57"/>
      <c r="AY317" s="57"/>
      <c r="AZ317" s="57"/>
      <c r="BA317" s="57"/>
      <c r="BB317" s="57"/>
      <c r="BC317" s="57"/>
      <c r="BD317" s="57"/>
      <c r="BE317" s="57"/>
      <c r="BF317" s="57"/>
      <c r="BG317" s="57"/>
      <c r="BH317" s="57"/>
      <c r="BI317" s="57"/>
      <c r="BJ317" s="57"/>
      <c r="BK317" s="57"/>
      <c r="BL317" s="57"/>
      <c r="BM317" s="57"/>
      <c r="BN317" s="57"/>
      <c r="BO317" s="57"/>
      <c r="BP317" s="57"/>
      <c r="BQ317" s="57"/>
      <c r="BR317" s="57"/>
    </row>
    <row r="318" spans="1:70" x14ac:dyDescent="0.25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  <c r="AB318" s="57"/>
      <c r="AC318" s="57"/>
      <c r="AD318" s="57"/>
      <c r="AE318" s="57"/>
      <c r="AF318" s="57"/>
      <c r="AG318" s="57"/>
      <c r="AH318" s="57"/>
      <c r="AI318" s="57"/>
      <c r="AJ318" s="57"/>
      <c r="AK318" s="57"/>
      <c r="AL318" s="57"/>
      <c r="AM318" s="57"/>
      <c r="AN318" s="57"/>
      <c r="AO318" s="57"/>
      <c r="AP318" s="57"/>
      <c r="AQ318" s="57"/>
      <c r="AR318" s="57"/>
      <c r="AS318" s="57"/>
      <c r="AT318" s="57"/>
      <c r="AU318" s="57"/>
      <c r="AV318" s="57"/>
      <c r="AW318" s="57"/>
      <c r="AX318" s="57"/>
      <c r="AY318" s="57"/>
      <c r="AZ318" s="57"/>
      <c r="BA318" s="57"/>
      <c r="BB318" s="57"/>
      <c r="BC318" s="57"/>
      <c r="BD318" s="57"/>
      <c r="BE318" s="57"/>
      <c r="BF318" s="57"/>
      <c r="BG318" s="57"/>
      <c r="BH318" s="57"/>
      <c r="BI318" s="57"/>
      <c r="BJ318" s="57"/>
      <c r="BK318" s="57"/>
      <c r="BL318" s="57"/>
      <c r="BM318" s="57"/>
      <c r="BN318" s="57"/>
      <c r="BO318" s="57"/>
      <c r="BP318" s="57"/>
      <c r="BQ318" s="57"/>
      <c r="BR318" s="57"/>
    </row>
    <row r="319" spans="1:70" x14ac:dyDescent="0.25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  <c r="AB319" s="57"/>
      <c r="AC319" s="57"/>
      <c r="AD319" s="57"/>
      <c r="AE319" s="57"/>
      <c r="AF319" s="57"/>
      <c r="AG319" s="57"/>
      <c r="AH319" s="57"/>
      <c r="AI319" s="57"/>
      <c r="AJ319" s="57"/>
      <c r="AK319" s="57"/>
      <c r="AL319" s="57"/>
      <c r="AM319" s="57"/>
      <c r="AN319" s="57"/>
      <c r="AO319" s="57"/>
      <c r="AP319" s="57"/>
      <c r="AQ319" s="57"/>
      <c r="AR319" s="57"/>
      <c r="AS319" s="57"/>
      <c r="AT319" s="57"/>
      <c r="AU319" s="57"/>
      <c r="AV319" s="57"/>
      <c r="AW319" s="57"/>
      <c r="AX319" s="57"/>
      <c r="AY319" s="57"/>
      <c r="AZ319" s="57"/>
      <c r="BA319" s="57"/>
      <c r="BB319" s="57"/>
      <c r="BC319" s="57"/>
      <c r="BD319" s="57"/>
      <c r="BE319" s="57"/>
      <c r="BF319" s="57"/>
      <c r="BG319" s="57"/>
      <c r="BH319" s="57"/>
      <c r="BI319" s="57"/>
      <c r="BJ319" s="57"/>
      <c r="BK319" s="57"/>
      <c r="BL319" s="57"/>
      <c r="BM319" s="57"/>
      <c r="BN319" s="57"/>
      <c r="BO319" s="57"/>
      <c r="BP319" s="57"/>
      <c r="BQ319" s="57"/>
      <c r="BR319" s="57"/>
    </row>
    <row r="320" spans="1:70" x14ac:dyDescent="0.25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  <c r="AC320" s="57"/>
      <c r="AD320" s="57"/>
      <c r="AE320" s="57"/>
      <c r="AF320" s="57"/>
      <c r="AG320" s="57"/>
      <c r="AH320" s="57"/>
      <c r="AI320" s="57"/>
      <c r="AJ320" s="57"/>
      <c r="AK320" s="57"/>
      <c r="AL320" s="57"/>
      <c r="AM320" s="57"/>
      <c r="AN320" s="57"/>
      <c r="AO320" s="57"/>
      <c r="AP320" s="57"/>
      <c r="AQ320" s="57"/>
      <c r="AR320" s="57"/>
      <c r="AS320" s="57"/>
      <c r="AT320" s="57"/>
      <c r="AU320" s="57"/>
      <c r="AV320" s="57"/>
      <c r="AW320" s="57"/>
      <c r="AX320" s="57"/>
      <c r="AY320" s="57"/>
      <c r="AZ320" s="57"/>
      <c r="BA320" s="57"/>
      <c r="BB320" s="57"/>
      <c r="BC320" s="57"/>
      <c r="BD320" s="57"/>
      <c r="BE320" s="57"/>
      <c r="BF320" s="57"/>
      <c r="BG320" s="57"/>
      <c r="BH320" s="57"/>
      <c r="BI320" s="57"/>
      <c r="BJ320" s="57"/>
      <c r="BK320" s="57"/>
      <c r="BL320" s="57"/>
      <c r="BM320" s="57"/>
      <c r="BN320" s="57"/>
      <c r="BO320" s="57"/>
      <c r="BP320" s="57"/>
      <c r="BQ320" s="57"/>
      <c r="BR320" s="57"/>
    </row>
    <row r="321" spans="1:70" x14ac:dyDescent="0.25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  <c r="AB321" s="57"/>
      <c r="AC321" s="57"/>
      <c r="AD321" s="57"/>
      <c r="AE321" s="57"/>
      <c r="AF321" s="57"/>
      <c r="AG321" s="57"/>
      <c r="AH321" s="57"/>
      <c r="AI321" s="57"/>
      <c r="AJ321" s="57"/>
      <c r="AK321" s="57"/>
      <c r="AL321" s="57"/>
      <c r="AM321" s="57"/>
      <c r="AN321" s="57"/>
      <c r="AO321" s="57"/>
      <c r="AP321" s="57"/>
      <c r="AQ321" s="57"/>
      <c r="AR321" s="57"/>
      <c r="AS321" s="57"/>
      <c r="AT321" s="57"/>
      <c r="AU321" s="57"/>
      <c r="AV321" s="57"/>
      <c r="AW321" s="57"/>
      <c r="AX321" s="57"/>
      <c r="AY321" s="57"/>
      <c r="AZ321" s="57"/>
      <c r="BA321" s="57"/>
      <c r="BB321" s="57"/>
      <c r="BC321" s="57"/>
      <c r="BD321" s="57"/>
      <c r="BE321" s="57"/>
      <c r="BF321" s="57"/>
      <c r="BG321" s="57"/>
      <c r="BH321" s="57"/>
      <c r="BI321" s="57"/>
      <c r="BJ321" s="57"/>
      <c r="BK321" s="57"/>
      <c r="BL321" s="57"/>
      <c r="BM321" s="57"/>
      <c r="BN321" s="57"/>
      <c r="BO321" s="57"/>
      <c r="BP321" s="57"/>
      <c r="BQ321" s="57"/>
      <c r="BR321" s="57"/>
    </row>
    <row r="322" spans="1:70" x14ac:dyDescent="0.25">
      <c r="A322" s="57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  <c r="AC322" s="57"/>
      <c r="AD322" s="57"/>
      <c r="AE322" s="57"/>
      <c r="AF322" s="57"/>
      <c r="AG322" s="57"/>
      <c r="AH322" s="57"/>
      <c r="AI322" s="57"/>
      <c r="AJ322" s="57"/>
      <c r="AK322" s="57"/>
      <c r="AL322" s="57"/>
      <c r="AM322" s="57"/>
      <c r="AN322" s="57"/>
      <c r="AO322" s="57"/>
      <c r="AP322" s="57"/>
      <c r="AQ322" s="57"/>
      <c r="AR322" s="57"/>
      <c r="AS322" s="57"/>
      <c r="AT322" s="57"/>
      <c r="AU322" s="57"/>
      <c r="AV322" s="57"/>
      <c r="AW322" s="57"/>
      <c r="AX322" s="57"/>
      <c r="AY322" s="57"/>
      <c r="AZ322" s="57"/>
      <c r="BA322" s="57"/>
      <c r="BB322" s="57"/>
      <c r="BC322" s="57"/>
      <c r="BD322" s="57"/>
      <c r="BE322" s="57"/>
      <c r="BF322" s="57"/>
      <c r="BG322" s="57"/>
      <c r="BH322" s="57"/>
      <c r="BI322" s="57"/>
      <c r="BJ322" s="57"/>
      <c r="BK322" s="57"/>
      <c r="BL322" s="57"/>
      <c r="BM322" s="57"/>
      <c r="BN322" s="57"/>
      <c r="BO322" s="57"/>
      <c r="BP322" s="57"/>
      <c r="BQ322" s="57"/>
      <c r="BR322" s="57"/>
    </row>
    <row r="323" spans="1:70" x14ac:dyDescent="0.25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  <c r="AB323" s="57"/>
      <c r="AC323" s="57"/>
      <c r="AD323" s="57"/>
      <c r="AE323" s="57"/>
      <c r="AF323" s="57"/>
      <c r="AG323" s="57"/>
      <c r="AH323" s="57"/>
      <c r="AI323" s="57"/>
      <c r="AJ323" s="57"/>
      <c r="AK323" s="57"/>
      <c r="AL323" s="57"/>
      <c r="AM323" s="57"/>
      <c r="AN323" s="57"/>
      <c r="AO323" s="57"/>
      <c r="AP323" s="57"/>
      <c r="AQ323" s="57"/>
      <c r="AR323" s="57"/>
      <c r="AS323" s="57"/>
      <c r="AT323" s="57"/>
      <c r="AU323" s="57"/>
      <c r="AV323" s="57"/>
      <c r="AW323" s="57"/>
      <c r="AX323" s="57"/>
      <c r="AY323" s="57"/>
      <c r="AZ323" s="57"/>
      <c r="BA323" s="57"/>
      <c r="BB323" s="57"/>
      <c r="BC323" s="57"/>
      <c r="BD323" s="57"/>
      <c r="BE323" s="57"/>
      <c r="BF323" s="57"/>
      <c r="BG323" s="57"/>
      <c r="BH323" s="57"/>
      <c r="BI323" s="57"/>
      <c r="BJ323" s="57"/>
      <c r="BK323" s="57"/>
      <c r="BL323" s="57"/>
      <c r="BM323" s="57"/>
      <c r="BN323" s="57"/>
      <c r="BO323" s="57"/>
      <c r="BP323" s="57"/>
      <c r="BQ323" s="57"/>
      <c r="BR323" s="57"/>
    </row>
    <row r="324" spans="1:70" x14ac:dyDescent="0.25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  <c r="AC324" s="57"/>
      <c r="AD324" s="57"/>
      <c r="AE324" s="57"/>
      <c r="AF324" s="57"/>
      <c r="AG324" s="57"/>
      <c r="AH324" s="57"/>
      <c r="AI324" s="57"/>
      <c r="AJ324" s="57"/>
      <c r="AK324" s="57"/>
      <c r="AL324" s="57"/>
      <c r="AM324" s="57"/>
      <c r="AN324" s="57"/>
      <c r="AO324" s="57"/>
      <c r="AP324" s="57"/>
      <c r="AQ324" s="57"/>
      <c r="AR324" s="57"/>
      <c r="AS324" s="57"/>
      <c r="AT324" s="57"/>
      <c r="AU324" s="57"/>
      <c r="AV324" s="57"/>
      <c r="AW324" s="57"/>
      <c r="AX324" s="57"/>
      <c r="AY324" s="57"/>
      <c r="AZ324" s="57"/>
      <c r="BA324" s="57"/>
      <c r="BB324" s="57"/>
      <c r="BC324" s="57"/>
      <c r="BD324" s="57"/>
      <c r="BE324" s="57"/>
      <c r="BF324" s="57"/>
      <c r="BG324" s="57"/>
      <c r="BH324" s="57"/>
      <c r="BI324" s="57"/>
      <c r="BJ324" s="57"/>
      <c r="BK324" s="57"/>
      <c r="BL324" s="57"/>
      <c r="BM324" s="57"/>
      <c r="BN324" s="57"/>
      <c r="BO324" s="57"/>
      <c r="BP324" s="57"/>
      <c r="BQ324" s="57"/>
      <c r="BR324" s="57"/>
    </row>
    <row r="325" spans="1:70" x14ac:dyDescent="0.25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  <c r="AE325" s="57"/>
      <c r="AF325" s="57"/>
      <c r="AG325" s="57"/>
      <c r="AH325" s="57"/>
      <c r="AI325" s="57"/>
      <c r="AJ325" s="57"/>
      <c r="AK325" s="57"/>
      <c r="AL325" s="57"/>
      <c r="AM325" s="57"/>
      <c r="AN325" s="57"/>
      <c r="AO325" s="57"/>
      <c r="AP325" s="57"/>
      <c r="AQ325" s="57"/>
      <c r="AR325" s="57"/>
      <c r="AS325" s="57"/>
      <c r="AT325" s="57"/>
      <c r="AU325" s="57"/>
      <c r="AV325" s="57"/>
      <c r="AW325" s="57"/>
      <c r="AX325" s="57"/>
      <c r="AY325" s="57"/>
      <c r="AZ325" s="57"/>
      <c r="BA325" s="57"/>
      <c r="BB325" s="57"/>
      <c r="BC325" s="57"/>
      <c r="BD325" s="57"/>
      <c r="BE325" s="57"/>
      <c r="BF325" s="57"/>
      <c r="BG325" s="57"/>
      <c r="BH325" s="57"/>
      <c r="BI325" s="57"/>
      <c r="BJ325" s="57"/>
      <c r="BK325" s="57"/>
      <c r="BL325" s="57"/>
      <c r="BM325" s="57"/>
      <c r="BN325" s="57"/>
      <c r="BO325" s="57"/>
      <c r="BP325" s="57"/>
      <c r="BQ325" s="57"/>
      <c r="BR325" s="57"/>
    </row>
    <row r="326" spans="1:70" x14ac:dyDescent="0.25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  <c r="AC326" s="57"/>
      <c r="AD326" s="57"/>
      <c r="AE326" s="57"/>
      <c r="AF326" s="57"/>
      <c r="AG326" s="57"/>
      <c r="AH326" s="57"/>
      <c r="AI326" s="57"/>
      <c r="AJ326" s="57"/>
      <c r="AK326" s="57"/>
      <c r="AL326" s="57"/>
      <c r="AM326" s="57"/>
      <c r="AN326" s="57"/>
      <c r="AO326" s="57"/>
      <c r="AP326" s="57"/>
      <c r="AQ326" s="57"/>
      <c r="AR326" s="57"/>
      <c r="AS326" s="57"/>
      <c r="AT326" s="57"/>
      <c r="AU326" s="57"/>
      <c r="AV326" s="57"/>
      <c r="AW326" s="57"/>
      <c r="AX326" s="57"/>
      <c r="AY326" s="57"/>
      <c r="AZ326" s="57"/>
      <c r="BA326" s="57"/>
      <c r="BB326" s="57"/>
      <c r="BC326" s="57"/>
      <c r="BD326" s="57"/>
      <c r="BE326" s="57"/>
      <c r="BF326" s="57"/>
      <c r="BG326" s="57"/>
      <c r="BH326" s="57"/>
      <c r="BI326" s="57"/>
      <c r="BJ326" s="57"/>
      <c r="BK326" s="57"/>
      <c r="BL326" s="57"/>
      <c r="BM326" s="57"/>
      <c r="BN326" s="57"/>
      <c r="BO326" s="57"/>
      <c r="BP326" s="57"/>
      <c r="BQ326" s="57"/>
      <c r="BR326" s="57"/>
    </row>
    <row r="327" spans="1:70" x14ac:dyDescent="0.25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  <c r="AB327" s="57"/>
      <c r="AC327" s="57"/>
      <c r="AD327" s="57"/>
      <c r="AE327" s="57"/>
      <c r="AF327" s="57"/>
      <c r="AG327" s="57"/>
      <c r="AH327" s="57"/>
      <c r="AI327" s="57"/>
      <c r="AJ327" s="57"/>
      <c r="AK327" s="57"/>
      <c r="AL327" s="57"/>
      <c r="AM327" s="57"/>
      <c r="AN327" s="57"/>
      <c r="AO327" s="57"/>
      <c r="AP327" s="57"/>
      <c r="AQ327" s="57"/>
      <c r="AR327" s="57"/>
      <c r="AS327" s="57"/>
      <c r="AT327" s="57"/>
      <c r="AU327" s="57"/>
      <c r="AV327" s="57"/>
      <c r="AW327" s="57"/>
      <c r="AX327" s="57"/>
      <c r="AY327" s="57"/>
      <c r="AZ327" s="57"/>
      <c r="BA327" s="57"/>
      <c r="BB327" s="57"/>
      <c r="BC327" s="57"/>
      <c r="BD327" s="57"/>
      <c r="BE327" s="57"/>
      <c r="BF327" s="57"/>
      <c r="BG327" s="57"/>
      <c r="BH327" s="57"/>
      <c r="BI327" s="57"/>
      <c r="BJ327" s="57"/>
      <c r="BK327" s="57"/>
      <c r="BL327" s="57"/>
      <c r="BM327" s="57"/>
      <c r="BN327" s="57"/>
      <c r="BO327" s="57"/>
      <c r="BP327" s="57"/>
      <c r="BQ327" s="57"/>
      <c r="BR327" s="57"/>
    </row>
    <row r="328" spans="1:70" x14ac:dyDescent="0.25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  <c r="AB328" s="57"/>
      <c r="AC328" s="57"/>
      <c r="AD328" s="57"/>
      <c r="AE328" s="57"/>
      <c r="AF328" s="57"/>
      <c r="AG328" s="57"/>
      <c r="AH328" s="57"/>
      <c r="AI328" s="57"/>
      <c r="AJ328" s="57"/>
      <c r="AK328" s="57"/>
      <c r="AL328" s="57"/>
      <c r="AM328" s="57"/>
      <c r="AN328" s="57"/>
      <c r="AO328" s="57"/>
      <c r="AP328" s="57"/>
      <c r="AQ328" s="57"/>
      <c r="AR328" s="57"/>
      <c r="AS328" s="57"/>
      <c r="AT328" s="57"/>
      <c r="AU328" s="57"/>
      <c r="AV328" s="57"/>
      <c r="AW328" s="57"/>
      <c r="AX328" s="57"/>
      <c r="AY328" s="57"/>
      <c r="AZ328" s="57"/>
      <c r="BA328" s="57"/>
      <c r="BB328" s="57"/>
      <c r="BC328" s="57"/>
      <c r="BD328" s="57"/>
      <c r="BE328" s="57"/>
      <c r="BF328" s="57"/>
      <c r="BG328" s="57"/>
      <c r="BH328" s="57"/>
      <c r="BI328" s="57"/>
      <c r="BJ328" s="57"/>
      <c r="BK328" s="57"/>
      <c r="BL328" s="57"/>
      <c r="BM328" s="57"/>
      <c r="BN328" s="57"/>
      <c r="BO328" s="57"/>
      <c r="BP328" s="57"/>
      <c r="BQ328" s="57"/>
      <c r="BR328" s="57"/>
    </row>
    <row r="329" spans="1:70" x14ac:dyDescent="0.25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  <c r="AB329" s="57"/>
      <c r="AC329" s="57"/>
      <c r="AD329" s="57"/>
      <c r="AE329" s="57"/>
      <c r="AF329" s="57"/>
      <c r="AG329" s="57"/>
      <c r="AH329" s="57"/>
      <c r="AI329" s="57"/>
      <c r="AJ329" s="57"/>
      <c r="AK329" s="57"/>
      <c r="AL329" s="57"/>
      <c r="AM329" s="57"/>
      <c r="AN329" s="57"/>
      <c r="AO329" s="57"/>
      <c r="AP329" s="57"/>
      <c r="AQ329" s="57"/>
      <c r="AR329" s="57"/>
      <c r="AS329" s="57"/>
      <c r="AT329" s="57"/>
      <c r="AU329" s="57"/>
      <c r="AV329" s="57"/>
      <c r="AW329" s="57"/>
      <c r="AX329" s="57"/>
      <c r="AY329" s="57"/>
      <c r="AZ329" s="57"/>
      <c r="BA329" s="57"/>
      <c r="BB329" s="57"/>
      <c r="BC329" s="57"/>
      <c r="BD329" s="57"/>
      <c r="BE329" s="57"/>
      <c r="BF329" s="57"/>
      <c r="BG329" s="57"/>
      <c r="BH329" s="57"/>
      <c r="BI329" s="57"/>
      <c r="BJ329" s="57"/>
      <c r="BK329" s="57"/>
      <c r="BL329" s="57"/>
      <c r="BM329" s="57"/>
      <c r="BN329" s="57"/>
      <c r="BO329" s="57"/>
      <c r="BP329" s="57"/>
      <c r="BQ329" s="57"/>
      <c r="BR329" s="57"/>
    </row>
    <row r="330" spans="1:70" x14ac:dyDescent="0.25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  <c r="AB330" s="57"/>
      <c r="AC330" s="57"/>
      <c r="AD330" s="57"/>
      <c r="AE330" s="57"/>
      <c r="AF330" s="57"/>
      <c r="AG330" s="57"/>
      <c r="AH330" s="57"/>
      <c r="AI330" s="57"/>
      <c r="AJ330" s="57"/>
      <c r="AK330" s="57"/>
      <c r="AL330" s="57"/>
      <c r="AM330" s="57"/>
      <c r="AN330" s="57"/>
      <c r="AO330" s="57"/>
      <c r="AP330" s="57"/>
      <c r="AQ330" s="57"/>
      <c r="AR330" s="57"/>
      <c r="AS330" s="57"/>
      <c r="AT330" s="57"/>
      <c r="AU330" s="57"/>
      <c r="AV330" s="57"/>
      <c r="AW330" s="57"/>
      <c r="AX330" s="57"/>
      <c r="AY330" s="57"/>
      <c r="AZ330" s="57"/>
      <c r="BA330" s="57"/>
      <c r="BB330" s="57"/>
      <c r="BC330" s="57"/>
      <c r="BD330" s="57"/>
      <c r="BE330" s="57"/>
      <c r="BF330" s="57"/>
      <c r="BG330" s="57"/>
      <c r="BH330" s="57"/>
      <c r="BI330" s="57"/>
      <c r="BJ330" s="57"/>
      <c r="BK330" s="57"/>
      <c r="BL330" s="57"/>
      <c r="BM330" s="57"/>
      <c r="BN330" s="57"/>
      <c r="BO330" s="57"/>
      <c r="BP330" s="57"/>
      <c r="BQ330" s="57"/>
      <c r="BR330" s="57"/>
    </row>
    <row r="331" spans="1:70" x14ac:dyDescent="0.25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57"/>
      <c r="AB331" s="57"/>
      <c r="AC331" s="57"/>
      <c r="AD331" s="57"/>
      <c r="AE331" s="57"/>
      <c r="AF331" s="57"/>
      <c r="AG331" s="57"/>
      <c r="AH331" s="57"/>
      <c r="AI331" s="57"/>
      <c r="AJ331" s="57"/>
      <c r="AK331" s="57"/>
      <c r="AL331" s="57"/>
      <c r="AM331" s="57"/>
      <c r="AN331" s="57"/>
      <c r="AO331" s="57"/>
      <c r="AP331" s="57"/>
      <c r="AQ331" s="57"/>
      <c r="AR331" s="57"/>
      <c r="AS331" s="57"/>
      <c r="AT331" s="57"/>
      <c r="AU331" s="57"/>
      <c r="AV331" s="57"/>
      <c r="AW331" s="57"/>
      <c r="AX331" s="57"/>
      <c r="AY331" s="57"/>
      <c r="AZ331" s="57"/>
      <c r="BA331" s="57"/>
      <c r="BB331" s="57"/>
      <c r="BC331" s="57"/>
      <c r="BD331" s="57"/>
      <c r="BE331" s="57"/>
      <c r="BF331" s="57"/>
      <c r="BG331" s="57"/>
      <c r="BH331" s="57"/>
      <c r="BI331" s="57"/>
      <c r="BJ331" s="57"/>
      <c r="BK331" s="57"/>
      <c r="BL331" s="57"/>
      <c r="BM331" s="57"/>
      <c r="BN331" s="57"/>
      <c r="BO331" s="57"/>
      <c r="BP331" s="57"/>
      <c r="BQ331" s="57"/>
      <c r="BR331" s="57"/>
    </row>
    <row r="332" spans="1:70" x14ac:dyDescent="0.25">
      <c r="A332" s="57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  <c r="AB332" s="57"/>
      <c r="AC332" s="57"/>
      <c r="AD332" s="57"/>
      <c r="AE332" s="57"/>
      <c r="AF332" s="57"/>
      <c r="AG332" s="57"/>
      <c r="AH332" s="57"/>
      <c r="AI332" s="57"/>
      <c r="AJ332" s="57"/>
      <c r="AK332" s="57"/>
      <c r="AL332" s="57"/>
      <c r="AM332" s="57"/>
      <c r="AN332" s="57"/>
      <c r="AO332" s="57"/>
      <c r="AP332" s="57"/>
      <c r="AQ332" s="57"/>
      <c r="AR332" s="57"/>
      <c r="AS332" s="57"/>
      <c r="AT332" s="57"/>
      <c r="AU332" s="57"/>
      <c r="AV332" s="57"/>
      <c r="AW332" s="57"/>
      <c r="AX332" s="57"/>
      <c r="AY332" s="57"/>
      <c r="AZ332" s="57"/>
      <c r="BA332" s="57"/>
      <c r="BB332" s="57"/>
      <c r="BC332" s="57"/>
      <c r="BD332" s="57"/>
      <c r="BE332" s="57"/>
      <c r="BF332" s="57"/>
      <c r="BG332" s="57"/>
      <c r="BH332" s="57"/>
      <c r="BI332" s="57"/>
      <c r="BJ332" s="57"/>
      <c r="BK332" s="57"/>
      <c r="BL332" s="57"/>
      <c r="BM332" s="57"/>
      <c r="BN332" s="57"/>
      <c r="BO332" s="57"/>
      <c r="BP332" s="57"/>
      <c r="BQ332" s="57"/>
      <c r="BR332" s="57"/>
    </row>
    <row r="333" spans="1:70" x14ac:dyDescent="0.25">
      <c r="A333" s="57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  <c r="AB333" s="57"/>
      <c r="AC333" s="57"/>
      <c r="AD333" s="57"/>
      <c r="AE333" s="57"/>
      <c r="AF333" s="57"/>
      <c r="AG333" s="57"/>
      <c r="AH333" s="57"/>
      <c r="AI333" s="57"/>
      <c r="AJ333" s="57"/>
      <c r="AK333" s="57"/>
      <c r="AL333" s="57"/>
      <c r="AM333" s="57"/>
      <c r="AN333" s="57"/>
      <c r="AO333" s="57"/>
      <c r="AP333" s="57"/>
      <c r="AQ333" s="57"/>
      <c r="AR333" s="57"/>
      <c r="AS333" s="57"/>
      <c r="AT333" s="57"/>
      <c r="AU333" s="57"/>
      <c r="AV333" s="57"/>
      <c r="AW333" s="57"/>
      <c r="AX333" s="57"/>
      <c r="AY333" s="57"/>
      <c r="AZ333" s="57"/>
      <c r="BA333" s="57"/>
      <c r="BB333" s="57"/>
      <c r="BC333" s="57"/>
      <c r="BD333" s="57"/>
      <c r="BE333" s="57"/>
      <c r="BF333" s="57"/>
      <c r="BG333" s="57"/>
      <c r="BH333" s="57"/>
      <c r="BI333" s="57"/>
      <c r="BJ333" s="57"/>
      <c r="BK333" s="57"/>
      <c r="BL333" s="57"/>
      <c r="BM333" s="57"/>
      <c r="BN333" s="57"/>
      <c r="BO333" s="57"/>
      <c r="BP333" s="57"/>
      <c r="BQ333" s="57"/>
      <c r="BR333" s="57"/>
    </row>
    <row r="334" spans="1:70" x14ac:dyDescent="0.25">
      <c r="A334" s="57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  <c r="AB334" s="57"/>
      <c r="AC334" s="57"/>
      <c r="AD334" s="57"/>
      <c r="AE334" s="57"/>
      <c r="AF334" s="57"/>
      <c r="AG334" s="57"/>
      <c r="AH334" s="57"/>
      <c r="AI334" s="57"/>
      <c r="AJ334" s="57"/>
      <c r="AK334" s="57"/>
      <c r="AL334" s="57"/>
      <c r="AM334" s="57"/>
      <c r="AN334" s="57"/>
      <c r="AO334" s="57"/>
      <c r="AP334" s="57"/>
      <c r="AQ334" s="57"/>
      <c r="AR334" s="57"/>
      <c r="AS334" s="57"/>
      <c r="AT334" s="57"/>
      <c r="AU334" s="57"/>
      <c r="AV334" s="57"/>
      <c r="AW334" s="57"/>
      <c r="AX334" s="57"/>
      <c r="AY334" s="57"/>
      <c r="AZ334" s="57"/>
      <c r="BA334" s="57"/>
      <c r="BB334" s="57"/>
      <c r="BC334" s="57"/>
      <c r="BD334" s="57"/>
      <c r="BE334" s="57"/>
      <c r="BF334" s="57"/>
      <c r="BG334" s="57"/>
      <c r="BH334" s="57"/>
      <c r="BI334" s="57"/>
      <c r="BJ334" s="57"/>
      <c r="BK334" s="57"/>
      <c r="BL334" s="57"/>
      <c r="BM334" s="57"/>
      <c r="BN334" s="57"/>
      <c r="BO334" s="57"/>
      <c r="BP334" s="57"/>
      <c r="BQ334" s="57"/>
      <c r="BR334" s="57"/>
    </row>
    <row r="335" spans="1:70" x14ac:dyDescent="0.25">
      <c r="A335" s="57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  <c r="AB335" s="57"/>
      <c r="AC335" s="57"/>
      <c r="AD335" s="57"/>
      <c r="AE335" s="57"/>
      <c r="AF335" s="57"/>
      <c r="AG335" s="57"/>
      <c r="AH335" s="57"/>
      <c r="AI335" s="57"/>
      <c r="AJ335" s="57"/>
      <c r="AK335" s="57"/>
      <c r="AL335" s="57"/>
      <c r="AM335" s="57"/>
      <c r="AN335" s="57"/>
      <c r="AO335" s="57"/>
      <c r="AP335" s="57"/>
      <c r="AQ335" s="57"/>
      <c r="AR335" s="57"/>
      <c r="AS335" s="57"/>
      <c r="AT335" s="57"/>
      <c r="AU335" s="57"/>
      <c r="AV335" s="57"/>
      <c r="AW335" s="57"/>
      <c r="AX335" s="57"/>
      <c r="AY335" s="57"/>
      <c r="AZ335" s="57"/>
      <c r="BA335" s="57"/>
      <c r="BB335" s="57"/>
      <c r="BC335" s="57"/>
      <c r="BD335" s="57"/>
      <c r="BE335" s="57"/>
      <c r="BF335" s="57"/>
      <c r="BG335" s="57"/>
      <c r="BH335" s="57"/>
      <c r="BI335" s="57"/>
      <c r="BJ335" s="57"/>
      <c r="BK335" s="57"/>
      <c r="BL335" s="57"/>
      <c r="BM335" s="57"/>
      <c r="BN335" s="57"/>
      <c r="BO335" s="57"/>
      <c r="BP335" s="57"/>
      <c r="BQ335" s="57"/>
      <c r="BR335" s="57"/>
    </row>
    <row r="336" spans="1:70" x14ac:dyDescent="0.25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  <c r="AB336" s="57"/>
      <c r="AC336" s="57"/>
      <c r="AD336" s="57"/>
      <c r="AE336" s="57"/>
      <c r="AF336" s="57"/>
      <c r="AG336" s="57"/>
      <c r="AH336" s="57"/>
      <c r="AI336" s="57"/>
      <c r="AJ336" s="57"/>
      <c r="AK336" s="57"/>
      <c r="AL336" s="57"/>
      <c r="AM336" s="57"/>
      <c r="AN336" s="57"/>
      <c r="AO336" s="57"/>
      <c r="AP336" s="57"/>
      <c r="AQ336" s="57"/>
      <c r="AR336" s="57"/>
      <c r="AS336" s="57"/>
      <c r="AT336" s="57"/>
      <c r="AU336" s="57"/>
      <c r="AV336" s="57"/>
      <c r="AW336" s="57"/>
      <c r="AX336" s="57"/>
      <c r="AY336" s="57"/>
      <c r="AZ336" s="57"/>
      <c r="BA336" s="57"/>
      <c r="BB336" s="57"/>
      <c r="BC336" s="57"/>
      <c r="BD336" s="57"/>
      <c r="BE336" s="57"/>
      <c r="BF336" s="57"/>
      <c r="BG336" s="57"/>
      <c r="BH336" s="57"/>
      <c r="BI336" s="57"/>
      <c r="BJ336" s="57"/>
      <c r="BK336" s="57"/>
      <c r="BL336" s="57"/>
      <c r="BM336" s="57"/>
      <c r="BN336" s="57"/>
      <c r="BO336" s="57"/>
      <c r="BP336" s="57"/>
      <c r="BQ336" s="57"/>
      <c r="BR336" s="57"/>
    </row>
    <row r="337" spans="1:70" x14ac:dyDescent="0.25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  <c r="AB337" s="57"/>
      <c r="AC337" s="57"/>
      <c r="AD337" s="57"/>
      <c r="AE337" s="57"/>
      <c r="AF337" s="57"/>
      <c r="AG337" s="57"/>
      <c r="AH337" s="57"/>
      <c r="AI337" s="57"/>
      <c r="AJ337" s="57"/>
      <c r="AK337" s="57"/>
      <c r="AL337" s="57"/>
      <c r="AM337" s="57"/>
      <c r="AN337" s="57"/>
      <c r="AO337" s="57"/>
      <c r="AP337" s="57"/>
      <c r="AQ337" s="57"/>
      <c r="AR337" s="57"/>
      <c r="AS337" s="57"/>
      <c r="AT337" s="57"/>
      <c r="AU337" s="57"/>
      <c r="AV337" s="57"/>
      <c r="AW337" s="57"/>
      <c r="AX337" s="57"/>
      <c r="AY337" s="57"/>
      <c r="AZ337" s="57"/>
      <c r="BA337" s="57"/>
      <c r="BB337" s="57"/>
      <c r="BC337" s="57"/>
      <c r="BD337" s="57"/>
      <c r="BE337" s="57"/>
      <c r="BF337" s="57"/>
      <c r="BG337" s="57"/>
      <c r="BH337" s="57"/>
      <c r="BI337" s="57"/>
      <c r="BJ337" s="57"/>
      <c r="BK337" s="57"/>
      <c r="BL337" s="57"/>
      <c r="BM337" s="57"/>
      <c r="BN337" s="57"/>
      <c r="BO337" s="57"/>
      <c r="BP337" s="57"/>
      <c r="BQ337" s="57"/>
      <c r="BR337" s="57"/>
    </row>
    <row r="338" spans="1:70" x14ac:dyDescent="0.25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  <c r="AB338" s="57"/>
      <c r="AC338" s="57"/>
      <c r="AD338" s="57"/>
      <c r="AE338" s="57"/>
      <c r="AF338" s="57"/>
      <c r="AG338" s="57"/>
      <c r="AH338" s="57"/>
      <c r="AI338" s="57"/>
      <c r="AJ338" s="57"/>
      <c r="AK338" s="57"/>
      <c r="AL338" s="57"/>
      <c r="AM338" s="57"/>
      <c r="AN338" s="57"/>
      <c r="AO338" s="57"/>
      <c r="AP338" s="57"/>
      <c r="AQ338" s="57"/>
      <c r="AR338" s="57"/>
      <c r="AS338" s="57"/>
      <c r="AT338" s="57"/>
      <c r="AU338" s="57"/>
      <c r="AV338" s="57"/>
      <c r="AW338" s="57"/>
      <c r="AX338" s="57"/>
      <c r="AY338" s="57"/>
      <c r="AZ338" s="57"/>
      <c r="BA338" s="57"/>
      <c r="BB338" s="57"/>
      <c r="BC338" s="57"/>
      <c r="BD338" s="57"/>
      <c r="BE338" s="57"/>
      <c r="BF338" s="57"/>
      <c r="BG338" s="57"/>
      <c r="BH338" s="57"/>
      <c r="BI338" s="57"/>
      <c r="BJ338" s="57"/>
      <c r="BK338" s="57"/>
      <c r="BL338" s="57"/>
      <c r="BM338" s="57"/>
      <c r="BN338" s="57"/>
      <c r="BO338" s="57"/>
      <c r="BP338" s="57"/>
      <c r="BQ338" s="57"/>
      <c r="BR338" s="57"/>
    </row>
    <row r="339" spans="1:70" x14ac:dyDescent="0.25">
      <c r="A339" s="57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  <c r="AB339" s="57"/>
      <c r="AC339" s="57"/>
      <c r="AD339" s="57"/>
      <c r="AE339" s="57"/>
      <c r="AF339" s="57"/>
      <c r="AG339" s="57"/>
      <c r="AH339" s="57"/>
      <c r="AI339" s="57"/>
      <c r="AJ339" s="57"/>
      <c r="AK339" s="57"/>
      <c r="AL339" s="57"/>
      <c r="AM339" s="57"/>
      <c r="AN339" s="57"/>
      <c r="AO339" s="57"/>
      <c r="AP339" s="57"/>
      <c r="AQ339" s="57"/>
      <c r="AR339" s="57"/>
      <c r="AS339" s="57"/>
      <c r="AT339" s="57"/>
      <c r="AU339" s="57"/>
      <c r="AV339" s="57"/>
      <c r="AW339" s="57"/>
      <c r="AX339" s="57"/>
      <c r="AY339" s="57"/>
      <c r="AZ339" s="57"/>
      <c r="BA339" s="57"/>
      <c r="BB339" s="57"/>
      <c r="BC339" s="57"/>
      <c r="BD339" s="57"/>
      <c r="BE339" s="57"/>
      <c r="BF339" s="57"/>
      <c r="BG339" s="57"/>
      <c r="BH339" s="57"/>
      <c r="BI339" s="57"/>
      <c r="BJ339" s="57"/>
      <c r="BK339" s="57"/>
      <c r="BL339" s="57"/>
      <c r="BM339" s="57"/>
      <c r="BN339" s="57"/>
      <c r="BO339" s="57"/>
      <c r="BP339" s="57"/>
      <c r="BQ339" s="57"/>
      <c r="BR339" s="57"/>
    </row>
    <row r="340" spans="1:70" x14ac:dyDescent="0.25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  <c r="AB340" s="57"/>
      <c r="AC340" s="57"/>
      <c r="AD340" s="57"/>
      <c r="AE340" s="57"/>
      <c r="AF340" s="57"/>
      <c r="AG340" s="57"/>
      <c r="AH340" s="57"/>
      <c r="AI340" s="57"/>
      <c r="AJ340" s="57"/>
      <c r="AK340" s="57"/>
      <c r="AL340" s="57"/>
      <c r="AM340" s="57"/>
      <c r="AN340" s="57"/>
      <c r="AO340" s="57"/>
      <c r="AP340" s="57"/>
      <c r="AQ340" s="57"/>
      <c r="AR340" s="57"/>
      <c r="AS340" s="57"/>
      <c r="AT340" s="57"/>
      <c r="AU340" s="57"/>
      <c r="AV340" s="57"/>
      <c r="AW340" s="57"/>
      <c r="AX340" s="57"/>
      <c r="AY340" s="57"/>
      <c r="AZ340" s="57"/>
      <c r="BA340" s="57"/>
      <c r="BB340" s="57"/>
      <c r="BC340" s="57"/>
      <c r="BD340" s="57"/>
      <c r="BE340" s="57"/>
      <c r="BF340" s="57"/>
      <c r="BG340" s="57"/>
      <c r="BH340" s="57"/>
      <c r="BI340" s="57"/>
      <c r="BJ340" s="57"/>
      <c r="BK340" s="57"/>
      <c r="BL340" s="57"/>
      <c r="BM340" s="57"/>
      <c r="BN340" s="57"/>
      <c r="BO340" s="57"/>
      <c r="BP340" s="57"/>
      <c r="BQ340" s="57"/>
      <c r="BR340" s="57"/>
    </row>
    <row r="341" spans="1:70" x14ac:dyDescent="0.25">
      <c r="A341" s="57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57"/>
      <c r="AB341" s="57"/>
      <c r="AC341" s="57"/>
      <c r="AD341" s="57"/>
      <c r="AE341" s="57"/>
      <c r="AF341" s="57"/>
      <c r="AG341" s="57"/>
      <c r="AH341" s="57"/>
      <c r="AI341" s="57"/>
      <c r="AJ341" s="57"/>
      <c r="AK341" s="57"/>
      <c r="AL341" s="57"/>
      <c r="AM341" s="57"/>
      <c r="AN341" s="57"/>
      <c r="AO341" s="57"/>
      <c r="AP341" s="57"/>
      <c r="AQ341" s="57"/>
      <c r="AR341" s="57"/>
      <c r="AS341" s="57"/>
      <c r="AT341" s="57"/>
      <c r="AU341" s="57"/>
      <c r="AV341" s="57"/>
      <c r="AW341" s="57"/>
      <c r="AX341" s="57"/>
      <c r="AY341" s="57"/>
      <c r="AZ341" s="57"/>
      <c r="BA341" s="57"/>
      <c r="BB341" s="57"/>
      <c r="BC341" s="57"/>
      <c r="BD341" s="57"/>
      <c r="BE341" s="57"/>
      <c r="BF341" s="57"/>
      <c r="BG341" s="57"/>
      <c r="BH341" s="57"/>
      <c r="BI341" s="57"/>
      <c r="BJ341" s="57"/>
      <c r="BK341" s="57"/>
      <c r="BL341" s="57"/>
      <c r="BM341" s="57"/>
      <c r="BN341" s="57"/>
      <c r="BO341" s="57"/>
      <c r="BP341" s="57"/>
      <c r="BQ341" s="57"/>
      <c r="BR341" s="57"/>
    </row>
    <row r="342" spans="1:70" x14ac:dyDescent="0.25">
      <c r="A342" s="57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  <c r="AB342" s="57"/>
      <c r="AC342" s="57"/>
      <c r="AD342" s="57"/>
      <c r="AE342" s="57"/>
      <c r="AF342" s="57"/>
      <c r="AG342" s="57"/>
      <c r="AH342" s="57"/>
      <c r="AI342" s="57"/>
      <c r="AJ342" s="57"/>
      <c r="AK342" s="57"/>
      <c r="AL342" s="57"/>
      <c r="AM342" s="57"/>
      <c r="AN342" s="57"/>
      <c r="AO342" s="57"/>
      <c r="AP342" s="57"/>
      <c r="AQ342" s="57"/>
      <c r="AR342" s="57"/>
      <c r="AS342" s="57"/>
      <c r="AT342" s="57"/>
      <c r="AU342" s="57"/>
      <c r="AV342" s="57"/>
      <c r="AW342" s="57"/>
      <c r="AX342" s="57"/>
      <c r="AY342" s="57"/>
      <c r="AZ342" s="57"/>
      <c r="BA342" s="57"/>
      <c r="BB342" s="57"/>
      <c r="BC342" s="57"/>
      <c r="BD342" s="57"/>
      <c r="BE342" s="57"/>
      <c r="BF342" s="57"/>
      <c r="BG342" s="57"/>
      <c r="BH342" s="57"/>
      <c r="BI342" s="57"/>
      <c r="BJ342" s="57"/>
      <c r="BK342" s="57"/>
      <c r="BL342" s="57"/>
      <c r="BM342" s="57"/>
      <c r="BN342" s="57"/>
      <c r="BO342" s="57"/>
      <c r="BP342" s="57"/>
      <c r="BQ342" s="57"/>
      <c r="BR342" s="57"/>
    </row>
    <row r="343" spans="1:70" x14ac:dyDescent="0.25">
      <c r="A343" s="57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  <c r="AB343" s="57"/>
      <c r="AC343" s="57"/>
      <c r="AD343" s="57"/>
      <c r="AE343" s="57"/>
      <c r="AF343" s="57"/>
      <c r="AG343" s="57"/>
      <c r="AH343" s="57"/>
      <c r="AI343" s="57"/>
      <c r="AJ343" s="57"/>
      <c r="AK343" s="57"/>
      <c r="AL343" s="57"/>
      <c r="AM343" s="57"/>
      <c r="AN343" s="57"/>
      <c r="AO343" s="57"/>
      <c r="AP343" s="57"/>
      <c r="AQ343" s="57"/>
      <c r="AR343" s="57"/>
      <c r="AS343" s="57"/>
      <c r="AT343" s="57"/>
      <c r="AU343" s="57"/>
      <c r="AV343" s="57"/>
      <c r="AW343" s="57"/>
      <c r="AX343" s="57"/>
      <c r="AY343" s="57"/>
      <c r="AZ343" s="57"/>
      <c r="BA343" s="57"/>
      <c r="BB343" s="57"/>
      <c r="BC343" s="57"/>
      <c r="BD343" s="57"/>
      <c r="BE343" s="57"/>
      <c r="BF343" s="57"/>
      <c r="BG343" s="57"/>
      <c r="BH343" s="57"/>
      <c r="BI343" s="57"/>
      <c r="BJ343" s="57"/>
      <c r="BK343" s="57"/>
      <c r="BL343" s="57"/>
      <c r="BM343" s="57"/>
      <c r="BN343" s="57"/>
      <c r="BO343" s="57"/>
      <c r="BP343" s="57"/>
      <c r="BQ343" s="57"/>
      <c r="BR343" s="57"/>
    </row>
    <row r="344" spans="1:70" x14ac:dyDescent="0.25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  <c r="AB344" s="57"/>
      <c r="AC344" s="57"/>
      <c r="AD344" s="57"/>
      <c r="AE344" s="57"/>
      <c r="AF344" s="57"/>
      <c r="AG344" s="57"/>
      <c r="AH344" s="57"/>
      <c r="AI344" s="57"/>
      <c r="AJ344" s="57"/>
      <c r="AK344" s="57"/>
      <c r="AL344" s="57"/>
      <c r="AM344" s="57"/>
      <c r="AN344" s="57"/>
      <c r="AO344" s="57"/>
      <c r="AP344" s="57"/>
      <c r="AQ344" s="57"/>
      <c r="AR344" s="57"/>
      <c r="AS344" s="57"/>
      <c r="AT344" s="57"/>
      <c r="AU344" s="57"/>
      <c r="AV344" s="57"/>
      <c r="AW344" s="57"/>
      <c r="AX344" s="57"/>
      <c r="AY344" s="57"/>
      <c r="AZ344" s="57"/>
      <c r="BA344" s="57"/>
      <c r="BB344" s="57"/>
      <c r="BC344" s="57"/>
      <c r="BD344" s="57"/>
      <c r="BE344" s="57"/>
      <c r="BF344" s="57"/>
      <c r="BG344" s="57"/>
      <c r="BH344" s="57"/>
      <c r="BI344" s="57"/>
      <c r="BJ344" s="57"/>
      <c r="BK344" s="57"/>
      <c r="BL344" s="57"/>
      <c r="BM344" s="57"/>
      <c r="BN344" s="57"/>
      <c r="BO344" s="57"/>
      <c r="BP344" s="57"/>
      <c r="BQ344" s="57"/>
      <c r="BR344" s="57"/>
    </row>
    <row r="345" spans="1:70" x14ac:dyDescent="0.25">
      <c r="A345" s="57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  <c r="AB345" s="57"/>
      <c r="AC345" s="57"/>
      <c r="AD345" s="57"/>
      <c r="AE345" s="57"/>
      <c r="AF345" s="57"/>
      <c r="AG345" s="57"/>
      <c r="AH345" s="57"/>
      <c r="AI345" s="57"/>
      <c r="AJ345" s="57"/>
      <c r="AK345" s="57"/>
      <c r="AL345" s="57"/>
      <c r="AM345" s="57"/>
      <c r="AN345" s="57"/>
      <c r="AO345" s="57"/>
      <c r="AP345" s="57"/>
      <c r="AQ345" s="57"/>
      <c r="AR345" s="57"/>
      <c r="AS345" s="57"/>
      <c r="AT345" s="57"/>
      <c r="AU345" s="57"/>
      <c r="AV345" s="57"/>
      <c r="AW345" s="57"/>
      <c r="AX345" s="57"/>
      <c r="AY345" s="57"/>
      <c r="AZ345" s="57"/>
      <c r="BA345" s="57"/>
      <c r="BB345" s="57"/>
      <c r="BC345" s="57"/>
      <c r="BD345" s="57"/>
      <c r="BE345" s="57"/>
      <c r="BF345" s="57"/>
      <c r="BG345" s="57"/>
      <c r="BH345" s="57"/>
      <c r="BI345" s="57"/>
      <c r="BJ345" s="57"/>
      <c r="BK345" s="57"/>
      <c r="BL345" s="57"/>
      <c r="BM345" s="57"/>
      <c r="BN345" s="57"/>
      <c r="BO345" s="57"/>
      <c r="BP345" s="57"/>
      <c r="BQ345" s="57"/>
      <c r="BR345" s="57"/>
    </row>
    <row r="346" spans="1:70" x14ac:dyDescent="0.25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  <c r="AB346" s="57"/>
      <c r="AC346" s="57"/>
      <c r="AD346" s="57"/>
      <c r="AE346" s="57"/>
      <c r="AF346" s="57"/>
      <c r="AG346" s="57"/>
      <c r="AH346" s="57"/>
      <c r="AI346" s="57"/>
      <c r="AJ346" s="57"/>
      <c r="AK346" s="57"/>
      <c r="AL346" s="57"/>
      <c r="AM346" s="57"/>
      <c r="AN346" s="57"/>
      <c r="AO346" s="57"/>
      <c r="AP346" s="57"/>
      <c r="AQ346" s="57"/>
      <c r="AR346" s="57"/>
      <c r="AS346" s="57"/>
      <c r="AT346" s="57"/>
      <c r="AU346" s="57"/>
      <c r="AV346" s="57"/>
      <c r="AW346" s="57"/>
      <c r="AX346" s="57"/>
      <c r="AY346" s="57"/>
      <c r="AZ346" s="57"/>
      <c r="BA346" s="57"/>
      <c r="BB346" s="57"/>
      <c r="BC346" s="57"/>
      <c r="BD346" s="57"/>
      <c r="BE346" s="57"/>
      <c r="BF346" s="57"/>
      <c r="BG346" s="57"/>
      <c r="BH346" s="57"/>
      <c r="BI346" s="57"/>
      <c r="BJ346" s="57"/>
      <c r="BK346" s="57"/>
      <c r="BL346" s="57"/>
      <c r="BM346" s="57"/>
      <c r="BN346" s="57"/>
      <c r="BO346" s="57"/>
      <c r="BP346" s="57"/>
      <c r="BQ346" s="57"/>
      <c r="BR346" s="57"/>
    </row>
    <row r="347" spans="1:70" x14ac:dyDescent="0.25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  <c r="AB347" s="57"/>
      <c r="AC347" s="57"/>
      <c r="AD347" s="57"/>
      <c r="AE347" s="57"/>
      <c r="AF347" s="57"/>
      <c r="AG347" s="57"/>
      <c r="AH347" s="57"/>
      <c r="AI347" s="57"/>
      <c r="AJ347" s="57"/>
      <c r="AK347" s="57"/>
      <c r="AL347" s="57"/>
      <c r="AM347" s="57"/>
      <c r="AN347" s="57"/>
      <c r="AO347" s="57"/>
      <c r="AP347" s="57"/>
      <c r="AQ347" s="57"/>
      <c r="AR347" s="57"/>
      <c r="AS347" s="57"/>
      <c r="AT347" s="57"/>
      <c r="AU347" s="57"/>
      <c r="AV347" s="57"/>
      <c r="AW347" s="57"/>
      <c r="AX347" s="57"/>
      <c r="AY347" s="57"/>
      <c r="AZ347" s="57"/>
      <c r="BA347" s="57"/>
      <c r="BB347" s="57"/>
      <c r="BC347" s="57"/>
      <c r="BD347" s="57"/>
      <c r="BE347" s="57"/>
      <c r="BF347" s="57"/>
      <c r="BG347" s="57"/>
      <c r="BH347" s="57"/>
      <c r="BI347" s="57"/>
      <c r="BJ347" s="57"/>
      <c r="BK347" s="57"/>
      <c r="BL347" s="57"/>
      <c r="BM347" s="57"/>
      <c r="BN347" s="57"/>
      <c r="BO347" s="57"/>
      <c r="BP347" s="57"/>
      <c r="BQ347" s="57"/>
      <c r="BR347" s="57"/>
    </row>
    <row r="348" spans="1:70" x14ac:dyDescent="0.25">
      <c r="A348" s="57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  <c r="AB348" s="57"/>
      <c r="AC348" s="57"/>
      <c r="AD348" s="57"/>
      <c r="AE348" s="57"/>
      <c r="AF348" s="57"/>
      <c r="AG348" s="57"/>
      <c r="AH348" s="57"/>
      <c r="AI348" s="57"/>
      <c r="AJ348" s="57"/>
      <c r="AK348" s="57"/>
      <c r="AL348" s="57"/>
      <c r="AM348" s="57"/>
      <c r="AN348" s="57"/>
      <c r="AO348" s="57"/>
      <c r="AP348" s="57"/>
      <c r="AQ348" s="57"/>
      <c r="AR348" s="57"/>
      <c r="AS348" s="57"/>
      <c r="AT348" s="57"/>
      <c r="AU348" s="57"/>
      <c r="AV348" s="57"/>
      <c r="AW348" s="57"/>
      <c r="AX348" s="57"/>
      <c r="AY348" s="57"/>
      <c r="AZ348" s="57"/>
      <c r="BA348" s="57"/>
      <c r="BB348" s="57"/>
      <c r="BC348" s="57"/>
      <c r="BD348" s="57"/>
      <c r="BE348" s="57"/>
      <c r="BF348" s="57"/>
      <c r="BG348" s="57"/>
      <c r="BH348" s="57"/>
      <c r="BI348" s="57"/>
      <c r="BJ348" s="57"/>
      <c r="BK348" s="57"/>
      <c r="BL348" s="57"/>
      <c r="BM348" s="57"/>
      <c r="BN348" s="57"/>
      <c r="BO348" s="57"/>
      <c r="BP348" s="57"/>
      <c r="BQ348" s="57"/>
      <c r="BR348" s="57"/>
    </row>
    <row r="349" spans="1:70" x14ac:dyDescent="0.25">
      <c r="A349" s="57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57"/>
      <c r="AB349" s="57"/>
      <c r="AC349" s="57"/>
      <c r="AD349" s="57"/>
      <c r="AE349" s="57"/>
      <c r="AF349" s="57"/>
      <c r="AG349" s="57"/>
      <c r="AH349" s="57"/>
      <c r="AI349" s="57"/>
      <c r="AJ349" s="57"/>
      <c r="AK349" s="57"/>
      <c r="AL349" s="57"/>
      <c r="AM349" s="57"/>
      <c r="AN349" s="57"/>
      <c r="AO349" s="57"/>
      <c r="AP349" s="57"/>
      <c r="AQ349" s="57"/>
      <c r="AR349" s="57"/>
      <c r="AS349" s="57"/>
      <c r="AT349" s="57"/>
      <c r="AU349" s="57"/>
      <c r="AV349" s="57"/>
      <c r="AW349" s="57"/>
      <c r="AX349" s="57"/>
      <c r="AY349" s="57"/>
      <c r="AZ349" s="57"/>
      <c r="BA349" s="57"/>
      <c r="BB349" s="57"/>
      <c r="BC349" s="57"/>
      <c r="BD349" s="57"/>
      <c r="BE349" s="57"/>
      <c r="BF349" s="57"/>
      <c r="BG349" s="57"/>
      <c r="BH349" s="57"/>
      <c r="BI349" s="57"/>
      <c r="BJ349" s="57"/>
      <c r="BK349" s="57"/>
      <c r="BL349" s="57"/>
      <c r="BM349" s="57"/>
      <c r="BN349" s="57"/>
      <c r="BO349" s="57"/>
      <c r="BP349" s="57"/>
      <c r="BQ349" s="57"/>
      <c r="BR349" s="57"/>
    </row>
    <row r="350" spans="1:70" x14ac:dyDescent="0.25">
      <c r="A350" s="57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A350" s="57"/>
      <c r="AB350" s="57"/>
      <c r="AC350" s="57"/>
      <c r="AD350" s="57"/>
      <c r="AE350" s="57"/>
      <c r="AF350" s="57"/>
      <c r="AG350" s="57"/>
      <c r="AH350" s="57"/>
      <c r="AI350" s="57"/>
      <c r="AJ350" s="57"/>
      <c r="AK350" s="57"/>
      <c r="AL350" s="57"/>
      <c r="AM350" s="57"/>
      <c r="AN350" s="57"/>
      <c r="AO350" s="57"/>
      <c r="AP350" s="57"/>
      <c r="AQ350" s="57"/>
      <c r="AR350" s="57"/>
      <c r="AS350" s="57"/>
      <c r="AT350" s="57"/>
      <c r="AU350" s="57"/>
      <c r="AV350" s="57"/>
      <c r="AW350" s="57"/>
      <c r="AX350" s="57"/>
      <c r="AY350" s="57"/>
      <c r="AZ350" s="57"/>
      <c r="BA350" s="57"/>
      <c r="BB350" s="57"/>
      <c r="BC350" s="57"/>
      <c r="BD350" s="57"/>
      <c r="BE350" s="57"/>
      <c r="BF350" s="57"/>
      <c r="BG350" s="57"/>
      <c r="BH350" s="57"/>
      <c r="BI350" s="57"/>
      <c r="BJ350" s="57"/>
      <c r="BK350" s="57"/>
      <c r="BL350" s="57"/>
      <c r="BM350" s="57"/>
      <c r="BN350" s="57"/>
      <c r="BO350" s="57"/>
      <c r="BP350" s="57"/>
      <c r="BQ350" s="57"/>
      <c r="BR350" s="57"/>
    </row>
    <row r="351" spans="1:70" x14ac:dyDescent="0.25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A351" s="57"/>
      <c r="AB351" s="57"/>
      <c r="AC351" s="57"/>
      <c r="AD351" s="57"/>
      <c r="AE351" s="57"/>
      <c r="AF351" s="57"/>
      <c r="AG351" s="57"/>
      <c r="AH351" s="57"/>
      <c r="AI351" s="57"/>
      <c r="AJ351" s="57"/>
      <c r="AK351" s="57"/>
      <c r="AL351" s="57"/>
      <c r="AM351" s="57"/>
      <c r="AN351" s="57"/>
      <c r="AO351" s="57"/>
      <c r="AP351" s="57"/>
      <c r="AQ351" s="57"/>
      <c r="AR351" s="57"/>
      <c r="AS351" s="57"/>
      <c r="AT351" s="57"/>
      <c r="AU351" s="57"/>
      <c r="AV351" s="57"/>
      <c r="AW351" s="57"/>
      <c r="AX351" s="57"/>
      <c r="AY351" s="57"/>
      <c r="AZ351" s="57"/>
      <c r="BA351" s="57"/>
      <c r="BB351" s="57"/>
      <c r="BC351" s="57"/>
      <c r="BD351" s="57"/>
      <c r="BE351" s="57"/>
      <c r="BF351" s="57"/>
      <c r="BG351" s="57"/>
      <c r="BH351" s="57"/>
      <c r="BI351" s="57"/>
      <c r="BJ351" s="57"/>
      <c r="BK351" s="57"/>
      <c r="BL351" s="57"/>
      <c r="BM351" s="57"/>
      <c r="BN351" s="57"/>
      <c r="BO351" s="57"/>
      <c r="BP351" s="57"/>
      <c r="BQ351" s="57"/>
      <c r="BR351" s="57"/>
    </row>
    <row r="352" spans="1:70" x14ac:dyDescent="0.25">
      <c r="A352" s="57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57"/>
      <c r="AB352" s="57"/>
      <c r="AC352" s="57"/>
      <c r="AD352" s="57"/>
      <c r="AE352" s="57"/>
      <c r="AF352" s="57"/>
      <c r="AG352" s="57"/>
      <c r="AH352" s="57"/>
      <c r="AI352" s="57"/>
      <c r="AJ352" s="57"/>
      <c r="AK352" s="57"/>
      <c r="AL352" s="57"/>
      <c r="AM352" s="57"/>
      <c r="AN352" s="57"/>
      <c r="AO352" s="57"/>
      <c r="AP352" s="57"/>
      <c r="AQ352" s="57"/>
      <c r="AR352" s="57"/>
      <c r="AS352" s="57"/>
      <c r="AT352" s="57"/>
      <c r="AU352" s="57"/>
      <c r="AV352" s="57"/>
      <c r="AW352" s="57"/>
      <c r="AX352" s="57"/>
      <c r="AY352" s="57"/>
      <c r="AZ352" s="57"/>
      <c r="BA352" s="57"/>
      <c r="BB352" s="57"/>
      <c r="BC352" s="57"/>
      <c r="BD352" s="57"/>
      <c r="BE352" s="57"/>
      <c r="BF352" s="57"/>
      <c r="BG352" s="57"/>
      <c r="BH352" s="57"/>
      <c r="BI352" s="57"/>
      <c r="BJ352" s="57"/>
      <c r="BK352" s="57"/>
      <c r="BL352" s="57"/>
      <c r="BM352" s="57"/>
      <c r="BN352" s="57"/>
      <c r="BO352" s="57"/>
      <c r="BP352" s="57"/>
      <c r="BQ352" s="57"/>
      <c r="BR352" s="57"/>
    </row>
    <row r="353" spans="1:70" x14ac:dyDescent="0.25">
      <c r="A353" s="57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  <c r="AA353" s="57"/>
      <c r="AB353" s="57"/>
      <c r="AC353" s="57"/>
      <c r="AD353" s="57"/>
      <c r="AE353" s="57"/>
      <c r="AF353" s="57"/>
      <c r="AG353" s="57"/>
      <c r="AH353" s="57"/>
      <c r="AI353" s="57"/>
      <c r="AJ353" s="57"/>
      <c r="AK353" s="57"/>
      <c r="AL353" s="57"/>
      <c r="AM353" s="57"/>
      <c r="AN353" s="57"/>
      <c r="AO353" s="57"/>
      <c r="AP353" s="57"/>
      <c r="AQ353" s="57"/>
      <c r="AR353" s="57"/>
      <c r="AS353" s="57"/>
      <c r="AT353" s="57"/>
      <c r="AU353" s="57"/>
      <c r="AV353" s="57"/>
      <c r="AW353" s="57"/>
      <c r="AX353" s="57"/>
      <c r="AY353" s="57"/>
      <c r="AZ353" s="57"/>
      <c r="BA353" s="57"/>
      <c r="BB353" s="57"/>
      <c r="BC353" s="57"/>
      <c r="BD353" s="57"/>
      <c r="BE353" s="57"/>
      <c r="BF353" s="57"/>
      <c r="BG353" s="57"/>
      <c r="BH353" s="57"/>
      <c r="BI353" s="57"/>
      <c r="BJ353" s="57"/>
      <c r="BK353" s="57"/>
      <c r="BL353" s="57"/>
      <c r="BM353" s="57"/>
      <c r="BN353" s="57"/>
      <c r="BO353" s="57"/>
      <c r="BP353" s="57"/>
      <c r="BQ353" s="57"/>
      <c r="BR353" s="57"/>
    </row>
    <row r="354" spans="1:70" x14ac:dyDescent="0.25">
      <c r="A354" s="57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  <c r="AB354" s="57"/>
      <c r="AC354" s="57"/>
      <c r="AD354" s="57"/>
      <c r="AE354" s="57"/>
      <c r="AF354" s="57"/>
      <c r="AG354" s="57"/>
      <c r="AH354" s="57"/>
      <c r="AI354" s="57"/>
      <c r="AJ354" s="57"/>
      <c r="AK354" s="57"/>
      <c r="AL354" s="57"/>
      <c r="AM354" s="57"/>
      <c r="AN354" s="57"/>
      <c r="AO354" s="57"/>
      <c r="AP354" s="57"/>
      <c r="AQ354" s="57"/>
      <c r="AR354" s="57"/>
      <c r="AS354" s="57"/>
      <c r="AT354" s="57"/>
      <c r="AU354" s="57"/>
      <c r="AV354" s="57"/>
      <c r="AW354" s="57"/>
      <c r="AX354" s="57"/>
      <c r="AY354" s="57"/>
      <c r="AZ354" s="57"/>
      <c r="BA354" s="57"/>
      <c r="BB354" s="57"/>
      <c r="BC354" s="57"/>
      <c r="BD354" s="57"/>
      <c r="BE354" s="57"/>
      <c r="BF354" s="57"/>
      <c r="BG354" s="57"/>
      <c r="BH354" s="57"/>
      <c r="BI354" s="57"/>
      <c r="BJ354" s="57"/>
      <c r="BK354" s="57"/>
      <c r="BL354" s="57"/>
      <c r="BM354" s="57"/>
      <c r="BN354" s="57"/>
      <c r="BO354" s="57"/>
      <c r="BP354" s="57"/>
      <c r="BQ354" s="57"/>
      <c r="BR354" s="57"/>
    </row>
    <row r="355" spans="1:70" x14ac:dyDescent="0.25">
      <c r="A355" s="57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  <c r="AB355" s="57"/>
      <c r="AC355" s="57"/>
      <c r="AD355" s="57"/>
      <c r="AE355" s="57"/>
      <c r="AF355" s="57"/>
      <c r="AG355" s="57"/>
      <c r="AH355" s="57"/>
      <c r="AI355" s="57"/>
      <c r="AJ355" s="57"/>
      <c r="AK355" s="57"/>
      <c r="AL355" s="57"/>
      <c r="AM355" s="57"/>
      <c r="AN355" s="57"/>
      <c r="AO355" s="57"/>
      <c r="AP355" s="57"/>
      <c r="AQ355" s="57"/>
      <c r="AR355" s="57"/>
      <c r="AS355" s="57"/>
      <c r="AT355" s="57"/>
      <c r="AU355" s="57"/>
      <c r="AV355" s="57"/>
      <c r="AW355" s="57"/>
      <c r="AX355" s="57"/>
      <c r="AY355" s="57"/>
      <c r="AZ355" s="57"/>
      <c r="BA355" s="57"/>
      <c r="BB355" s="57"/>
      <c r="BC355" s="57"/>
      <c r="BD355" s="57"/>
      <c r="BE355" s="57"/>
      <c r="BF355" s="57"/>
      <c r="BG355" s="57"/>
      <c r="BH355" s="57"/>
      <c r="BI355" s="57"/>
      <c r="BJ355" s="57"/>
      <c r="BK355" s="57"/>
      <c r="BL355" s="57"/>
      <c r="BM355" s="57"/>
      <c r="BN355" s="57"/>
      <c r="BO355" s="57"/>
      <c r="BP355" s="57"/>
      <c r="BQ355" s="57"/>
      <c r="BR355" s="57"/>
    </row>
    <row r="356" spans="1:70" x14ac:dyDescent="0.25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57"/>
      <c r="AE356" s="57"/>
      <c r="AF356" s="57"/>
      <c r="AG356" s="57"/>
      <c r="AH356" s="57"/>
      <c r="AI356" s="57"/>
      <c r="AJ356" s="57"/>
      <c r="AK356" s="57"/>
      <c r="AL356" s="57"/>
      <c r="AM356" s="57"/>
      <c r="AN356" s="57"/>
      <c r="AO356" s="57"/>
      <c r="AP356" s="57"/>
      <c r="AQ356" s="57"/>
      <c r="AR356" s="57"/>
      <c r="AS356" s="57"/>
      <c r="AT356" s="57"/>
      <c r="AU356" s="57"/>
      <c r="AV356" s="57"/>
      <c r="AW356" s="57"/>
      <c r="AX356" s="57"/>
      <c r="AY356" s="57"/>
      <c r="AZ356" s="57"/>
      <c r="BA356" s="57"/>
      <c r="BB356" s="57"/>
      <c r="BC356" s="57"/>
      <c r="BD356" s="57"/>
      <c r="BE356" s="57"/>
      <c r="BF356" s="57"/>
      <c r="BG356" s="57"/>
      <c r="BH356" s="57"/>
      <c r="BI356" s="57"/>
      <c r="BJ356" s="57"/>
      <c r="BK356" s="57"/>
      <c r="BL356" s="57"/>
      <c r="BM356" s="57"/>
      <c r="BN356" s="57"/>
      <c r="BO356" s="57"/>
      <c r="BP356" s="57"/>
      <c r="BQ356" s="57"/>
      <c r="BR356" s="57"/>
    </row>
    <row r="357" spans="1:70" x14ac:dyDescent="0.25">
      <c r="A357" s="57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  <c r="AA357" s="57"/>
      <c r="AB357" s="57"/>
      <c r="AC357" s="57"/>
      <c r="AD357" s="57"/>
      <c r="AE357" s="57"/>
      <c r="AF357" s="57"/>
      <c r="AG357" s="57"/>
      <c r="AH357" s="57"/>
      <c r="AI357" s="57"/>
      <c r="AJ357" s="57"/>
      <c r="AK357" s="57"/>
      <c r="AL357" s="57"/>
      <c r="AM357" s="57"/>
      <c r="AN357" s="57"/>
      <c r="AO357" s="57"/>
      <c r="AP357" s="57"/>
      <c r="AQ357" s="57"/>
      <c r="AR357" s="57"/>
      <c r="AS357" s="57"/>
      <c r="AT357" s="57"/>
      <c r="AU357" s="57"/>
      <c r="AV357" s="57"/>
      <c r="AW357" s="57"/>
      <c r="AX357" s="57"/>
      <c r="AY357" s="57"/>
      <c r="AZ357" s="57"/>
      <c r="BA357" s="57"/>
      <c r="BB357" s="57"/>
      <c r="BC357" s="57"/>
      <c r="BD357" s="57"/>
      <c r="BE357" s="57"/>
      <c r="BF357" s="57"/>
      <c r="BG357" s="57"/>
      <c r="BH357" s="57"/>
      <c r="BI357" s="57"/>
      <c r="BJ357" s="57"/>
      <c r="BK357" s="57"/>
      <c r="BL357" s="57"/>
      <c r="BM357" s="57"/>
      <c r="BN357" s="57"/>
      <c r="BO357" s="57"/>
      <c r="BP357" s="57"/>
      <c r="BQ357" s="57"/>
      <c r="BR357" s="57"/>
    </row>
    <row r="358" spans="1:70" x14ac:dyDescent="0.25">
      <c r="A358" s="57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  <c r="AA358" s="57"/>
      <c r="AB358" s="57"/>
      <c r="AC358" s="57"/>
      <c r="AD358" s="57"/>
      <c r="AE358" s="57"/>
      <c r="AF358" s="57"/>
      <c r="AG358" s="57"/>
      <c r="AH358" s="57"/>
      <c r="AI358" s="57"/>
      <c r="AJ358" s="57"/>
      <c r="AK358" s="57"/>
      <c r="AL358" s="57"/>
      <c r="AM358" s="57"/>
      <c r="AN358" s="57"/>
      <c r="AO358" s="57"/>
      <c r="AP358" s="57"/>
      <c r="AQ358" s="57"/>
      <c r="AR358" s="57"/>
      <c r="AS358" s="57"/>
      <c r="AT358" s="57"/>
      <c r="AU358" s="57"/>
      <c r="AV358" s="57"/>
      <c r="AW358" s="57"/>
      <c r="AX358" s="57"/>
      <c r="AY358" s="57"/>
      <c r="AZ358" s="57"/>
      <c r="BA358" s="57"/>
      <c r="BB358" s="57"/>
      <c r="BC358" s="57"/>
      <c r="BD358" s="57"/>
      <c r="BE358" s="57"/>
      <c r="BF358" s="57"/>
      <c r="BG358" s="57"/>
      <c r="BH358" s="57"/>
      <c r="BI358" s="57"/>
      <c r="BJ358" s="57"/>
      <c r="BK358" s="57"/>
      <c r="BL358" s="57"/>
      <c r="BM358" s="57"/>
      <c r="BN358" s="57"/>
      <c r="BO358" s="57"/>
      <c r="BP358" s="57"/>
      <c r="BQ358" s="57"/>
      <c r="BR358" s="57"/>
    </row>
    <row r="359" spans="1:70" x14ac:dyDescent="0.25">
      <c r="A359" s="57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  <c r="AA359" s="57"/>
      <c r="AB359" s="57"/>
      <c r="AC359" s="57"/>
      <c r="AD359" s="57"/>
      <c r="AE359" s="57"/>
      <c r="AF359" s="57"/>
      <c r="AG359" s="57"/>
      <c r="AH359" s="57"/>
      <c r="AI359" s="57"/>
      <c r="AJ359" s="57"/>
      <c r="AK359" s="57"/>
      <c r="AL359" s="57"/>
      <c r="AM359" s="57"/>
      <c r="AN359" s="57"/>
      <c r="AO359" s="57"/>
      <c r="AP359" s="57"/>
      <c r="AQ359" s="57"/>
      <c r="AR359" s="57"/>
      <c r="AS359" s="57"/>
      <c r="AT359" s="57"/>
      <c r="AU359" s="57"/>
      <c r="AV359" s="57"/>
      <c r="AW359" s="57"/>
      <c r="AX359" s="57"/>
      <c r="AY359" s="57"/>
      <c r="AZ359" s="57"/>
      <c r="BA359" s="57"/>
      <c r="BB359" s="57"/>
      <c r="BC359" s="57"/>
      <c r="BD359" s="57"/>
      <c r="BE359" s="57"/>
      <c r="BF359" s="57"/>
      <c r="BG359" s="57"/>
      <c r="BH359" s="57"/>
      <c r="BI359" s="57"/>
      <c r="BJ359" s="57"/>
      <c r="BK359" s="57"/>
      <c r="BL359" s="57"/>
      <c r="BM359" s="57"/>
      <c r="BN359" s="57"/>
      <c r="BO359" s="57"/>
      <c r="BP359" s="57"/>
      <c r="BQ359" s="57"/>
      <c r="BR359" s="57"/>
    </row>
    <row r="360" spans="1:70" x14ac:dyDescent="0.25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A360" s="57"/>
      <c r="AB360" s="57"/>
      <c r="AC360" s="57"/>
      <c r="AD360" s="57"/>
      <c r="AE360" s="57"/>
      <c r="AF360" s="57"/>
      <c r="AG360" s="57"/>
      <c r="AH360" s="57"/>
      <c r="AI360" s="57"/>
      <c r="AJ360" s="57"/>
      <c r="AK360" s="57"/>
      <c r="AL360" s="57"/>
      <c r="AM360" s="57"/>
      <c r="AN360" s="57"/>
      <c r="AO360" s="57"/>
      <c r="AP360" s="57"/>
      <c r="AQ360" s="57"/>
      <c r="AR360" s="57"/>
      <c r="AS360" s="57"/>
      <c r="AT360" s="57"/>
      <c r="AU360" s="57"/>
      <c r="AV360" s="57"/>
      <c r="AW360" s="57"/>
      <c r="AX360" s="57"/>
      <c r="AY360" s="57"/>
      <c r="AZ360" s="57"/>
      <c r="BA360" s="57"/>
      <c r="BB360" s="57"/>
      <c r="BC360" s="57"/>
      <c r="BD360" s="57"/>
      <c r="BE360" s="57"/>
      <c r="BF360" s="57"/>
      <c r="BG360" s="57"/>
      <c r="BH360" s="57"/>
      <c r="BI360" s="57"/>
      <c r="BJ360" s="57"/>
      <c r="BK360" s="57"/>
      <c r="BL360" s="57"/>
      <c r="BM360" s="57"/>
      <c r="BN360" s="57"/>
      <c r="BO360" s="57"/>
      <c r="BP360" s="57"/>
      <c r="BQ360" s="57"/>
      <c r="BR360" s="57"/>
    </row>
    <row r="361" spans="1:70" x14ac:dyDescent="0.25">
      <c r="A361" s="57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A361" s="57"/>
      <c r="AB361" s="57"/>
      <c r="AC361" s="57"/>
      <c r="AD361" s="57"/>
      <c r="AE361" s="57"/>
      <c r="AF361" s="57"/>
      <c r="AG361" s="57"/>
      <c r="AH361" s="57"/>
      <c r="AI361" s="57"/>
      <c r="AJ361" s="57"/>
      <c r="AK361" s="57"/>
      <c r="AL361" s="57"/>
      <c r="AM361" s="57"/>
      <c r="AN361" s="57"/>
      <c r="AO361" s="57"/>
      <c r="AP361" s="57"/>
      <c r="AQ361" s="57"/>
      <c r="AR361" s="57"/>
      <c r="AS361" s="57"/>
      <c r="AT361" s="57"/>
      <c r="AU361" s="57"/>
      <c r="AV361" s="57"/>
      <c r="AW361" s="57"/>
      <c r="AX361" s="57"/>
      <c r="AY361" s="57"/>
      <c r="AZ361" s="57"/>
      <c r="BA361" s="57"/>
      <c r="BB361" s="57"/>
      <c r="BC361" s="57"/>
      <c r="BD361" s="57"/>
      <c r="BE361" s="57"/>
      <c r="BF361" s="57"/>
      <c r="BG361" s="57"/>
      <c r="BH361" s="57"/>
      <c r="BI361" s="57"/>
      <c r="BJ361" s="57"/>
      <c r="BK361" s="57"/>
      <c r="BL361" s="57"/>
      <c r="BM361" s="57"/>
      <c r="BN361" s="57"/>
      <c r="BO361" s="57"/>
      <c r="BP361" s="57"/>
      <c r="BQ361" s="57"/>
      <c r="BR361" s="57"/>
    </row>
    <row r="362" spans="1:70" x14ac:dyDescent="0.25">
      <c r="A362" s="57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  <c r="AA362" s="57"/>
      <c r="AB362" s="57"/>
      <c r="AC362" s="57"/>
      <c r="AD362" s="57"/>
      <c r="AE362" s="57"/>
      <c r="AF362" s="57"/>
      <c r="AG362" s="57"/>
      <c r="AH362" s="57"/>
      <c r="AI362" s="57"/>
      <c r="AJ362" s="57"/>
      <c r="AK362" s="57"/>
      <c r="AL362" s="57"/>
      <c r="AM362" s="57"/>
      <c r="AN362" s="57"/>
      <c r="AO362" s="57"/>
      <c r="AP362" s="57"/>
      <c r="AQ362" s="57"/>
      <c r="AR362" s="57"/>
      <c r="AS362" s="57"/>
      <c r="AT362" s="57"/>
      <c r="AU362" s="57"/>
      <c r="AV362" s="57"/>
      <c r="AW362" s="57"/>
      <c r="AX362" s="57"/>
      <c r="AY362" s="57"/>
      <c r="AZ362" s="57"/>
      <c r="BA362" s="57"/>
      <c r="BB362" s="57"/>
      <c r="BC362" s="57"/>
      <c r="BD362" s="57"/>
      <c r="BE362" s="57"/>
      <c r="BF362" s="57"/>
      <c r="BG362" s="57"/>
      <c r="BH362" s="57"/>
      <c r="BI362" s="57"/>
      <c r="BJ362" s="57"/>
      <c r="BK362" s="57"/>
      <c r="BL362" s="57"/>
      <c r="BM362" s="57"/>
      <c r="BN362" s="57"/>
      <c r="BO362" s="57"/>
      <c r="BP362" s="57"/>
      <c r="BQ362" s="57"/>
      <c r="BR362" s="57"/>
    </row>
    <row r="363" spans="1:70" x14ac:dyDescent="0.25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  <c r="AA363" s="57"/>
      <c r="AB363" s="57"/>
      <c r="AC363" s="57"/>
      <c r="AD363" s="57"/>
      <c r="AE363" s="57"/>
      <c r="AF363" s="57"/>
      <c r="AG363" s="57"/>
      <c r="AH363" s="57"/>
      <c r="AI363" s="57"/>
      <c r="AJ363" s="57"/>
      <c r="AK363" s="57"/>
      <c r="AL363" s="57"/>
      <c r="AM363" s="57"/>
      <c r="AN363" s="57"/>
      <c r="AO363" s="57"/>
      <c r="AP363" s="57"/>
      <c r="AQ363" s="57"/>
      <c r="AR363" s="57"/>
      <c r="AS363" s="57"/>
      <c r="AT363" s="57"/>
      <c r="AU363" s="57"/>
      <c r="AV363" s="57"/>
      <c r="AW363" s="57"/>
      <c r="AX363" s="57"/>
      <c r="AY363" s="57"/>
      <c r="AZ363" s="57"/>
      <c r="BA363" s="57"/>
      <c r="BB363" s="57"/>
      <c r="BC363" s="57"/>
      <c r="BD363" s="57"/>
      <c r="BE363" s="57"/>
      <c r="BF363" s="57"/>
      <c r="BG363" s="57"/>
      <c r="BH363" s="57"/>
      <c r="BI363" s="57"/>
      <c r="BJ363" s="57"/>
      <c r="BK363" s="57"/>
      <c r="BL363" s="57"/>
      <c r="BM363" s="57"/>
      <c r="BN363" s="57"/>
      <c r="BO363" s="57"/>
      <c r="BP363" s="57"/>
      <c r="BQ363" s="57"/>
      <c r="BR363" s="57"/>
    </row>
    <row r="364" spans="1:70" x14ac:dyDescent="0.25">
      <c r="A364" s="57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  <c r="AB364" s="57"/>
      <c r="AC364" s="57"/>
      <c r="AD364" s="57"/>
      <c r="AE364" s="57"/>
      <c r="AF364" s="57"/>
      <c r="AG364" s="57"/>
      <c r="AH364" s="57"/>
      <c r="AI364" s="57"/>
      <c r="AJ364" s="57"/>
      <c r="AK364" s="57"/>
      <c r="AL364" s="57"/>
      <c r="AM364" s="57"/>
      <c r="AN364" s="57"/>
      <c r="AO364" s="57"/>
      <c r="AP364" s="57"/>
      <c r="AQ364" s="57"/>
      <c r="AR364" s="57"/>
      <c r="AS364" s="57"/>
      <c r="AT364" s="57"/>
      <c r="AU364" s="57"/>
      <c r="AV364" s="57"/>
      <c r="AW364" s="57"/>
      <c r="AX364" s="57"/>
      <c r="AY364" s="57"/>
      <c r="AZ364" s="57"/>
      <c r="BA364" s="57"/>
      <c r="BB364" s="57"/>
      <c r="BC364" s="57"/>
      <c r="BD364" s="57"/>
      <c r="BE364" s="57"/>
      <c r="BF364" s="57"/>
      <c r="BG364" s="57"/>
      <c r="BH364" s="57"/>
      <c r="BI364" s="57"/>
      <c r="BJ364" s="57"/>
      <c r="BK364" s="57"/>
      <c r="BL364" s="57"/>
      <c r="BM364" s="57"/>
      <c r="BN364" s="57"/>
      <c r="BO364" s="57"/>
      <c r="BP364" s="57"/>
      <c r="BQ364" s="57"/>
      <c r="BR364" s="57"/>
    </row>
    <row r="365" spans="1:70" x14ac:dyDescent="0.25">
      <c r="A365" s="57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S365" s="57"/>
      <c r="T365" s="57"/>
      <c r="U365" s="57"/>
      <c r="V365" s="57"/>
      <c r="W365" s="57"/>
      <c r="X365" s="57"/>
      <c r="Y365" s="57"/>
      <c r="Z365" s="57"/>
      <c r="AA365" s="57"/>
      <c r="AB365" s="57"/>
      <c r="AC365" s="57"/>
      <c r="AD365" s="57"/>
      <c r="AE365" s="57"/>
      <c r="AF365" s="57"/>
      <c r="AG365" s="57"/>
      <c r="AH365" s="57"/>
      <c r="AI365" s="57"/>
      <c r="AJ365" s="57"/>
      <c r="AK365" s="57"/>
      <c r="AL365" s="57"/>
      <c r="AM365" s="57"/>
      <c r="AN365" s="57"/>
      <c r="AO365" s="57"/>
      <c r="AP365" s="57"/>
      <c r="AQ365" s="57"/>
      <c r="AR365" s="57"/>
      <c r="AS365" s="57"/>
      <c r="AT365" s="57"/>
      <c r="AU365" s="57"/>
      <c r="AV365" s="57"/>
      <c r="AW365" s="57"/>
      <c r="AX365" s="57"/>
      <c r="AY365" s="57"/>
      <c r="AZ365" s="57"/>
      <c r="BA365" s="57"/>
      <c r="BB365" s="57"/>
      <c r="BC365" s="57"/>
      <c r="BD365" s="57"/>
      <c r="BE365" s="57"/>
      <c r="BF365" s="57"/>
      <c r="BG365" s="57"/>
      <c r="BH365" s="57"/>
      <c r="BI365" s="57"/>
      <c r="BJ365" s="57"/>
      <c r="BK365" s="57"/>
      <c r="BL365" s="57"/>
      <c r="BM365" s="57"/>
      <c r="BN365" s="57"/>
      <c r="BO365" s="57"/>
      <c r="BP365" s="57"/>
      <c r="BQ365" s="57"/>
      <c r="BR365" s="57"/>
    </row>
    <row r="366" spans="1:70" x14ac:dyDescent="0.25">
      <c r="A366" s="57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S366" s="57"/>
      <c r="T366" s="57"/>
      <c r="U366" s="57"/>
      <c r="V366" s="57"/>
      <c r="W366" s="57"/>
      <c r="X366" s="57"/>
      <c r="Y366" s="57"/>
      <c r="Z366" s="57"/>
      <c r="AA366" s="57"/>
      <c r="AB366" s="57"/>
      <c r="AC366" s="57"/>
      <c r="AD366" s="57"/>
      <c r="AE366" s="57"/>
      <c r="AF366" s="57"/>
      <c r="AG366" s="57"/>
      <c r="AH366" s="57"/>
      <c r="AI366" s="57"/>
      <c r="AJ366" s="57"/>
      <c r="AK366" s="57"/>
      <c r="AL366" s="57"/>
      <c r="AM366" s="57"/>
      <c r="AN366" s="57"/>
      <c r="AO366" s="57"/>
      <c r="AP366" s="57"/>
      <c r="AQ366" s="57"/>
      <c r="AR366" s="57"/>
      <c r="AS366" s="57"/>
      <c r="AT366" s="57"/>
      <c r="AU366" s="57"/>
      <c r="AV366" s="57"/>
      <c r="AW366" s="57"/>
      <c r="AX366" s="57"/>
      <c r="AY366" s="57"/>
      <c r="AZ366" s="57"/>
      <c r="BA366" s="57"/>
      <c r="BB366" s="57"/>
      <c r="BC366" s="57"/>
      <c r="BD366" s="57"/>
      <c r="BE366" s="57"/>
      <c r="BF366" s="57"/>
      <c r="BG366" s="57"/>
      <c r="BH366" s="57"/>
      <c r="BI366" s="57"/>
      <c r="BJ366" s="57"/>
      <c r="BK366" s="57"/>
      <c r="BL366" s="57"/>
      <c r="BM366" s="57"/>
      <c r="BN366" s="57"/>
      <c r="BO366" s="57"/>
      <c r="BP366" s="57"/>
      <c r="BQ366" s="57"/>
      <c r="BR366" s="57"/>
    </row>
    <row r="367" spans="1:70" x14ac:dyDescent="0.25">
      <c r="A367" s="57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S367" s="57"/>
      <c r="T367" s="57"/>
      <c r="U367" s="57"/>
      <c r="V367" s="57"/>
      <c r="W367" s="57"/>
      <c r="X367" s="57"/>
      <c r="Y367" s="57"/>
      <c r="Z367" s="57"/>
      <c r="AA367" s="57"/>
      <c r="AB367" s="57"/>
      <c r="AC367" s="57"/>
      <c r="AD367" s="57"/>
      <c r="AE367" s="57"/>
      <c r="AF367" s="57"/>
      <c r="AG367" s="57"/>
      <c r="AH367" s="57"/>
      <c r="AI367" s="57"/>
      <c r="AJ367" s="57"/>
      <c r="AK367" s="57"/>
      <c r="AL367" s="57"/>
      <c r="AM367" s="57"/>
      <c r="AN367" s="57"/>
      <c r="AO367" s="57"/>
      <c r="AP367" s="57"/>
      <c r="AQ367" s="57"/>
      <c r="AR367" s="57"/>
      <c r="AS367" s="57"/>
      <c r="AT367" s="57"/>
      <c r="AU367" s="57"/>
      <c r="AV367" s="57"/>
      <c r="AW367" s="57"/>
      <c r="AX367" s="57"/>
      <c r="AY367" s="57"/>
      <c r="AZ367" s="57"/>
      <c r="BA367" s="57"/>
      <c r="BB367" s="57"/>
      <c r="BC367" s="57"/>
      <c r="BD367" s="57"/>
      <c r="BE367" s="57"/>
      <c r="BF367" s="57"/>
      <c r="BG367" s="57"/>
      <c r="BH367" s="57"/>
      <c r="BI367" s="57"/>
      <c r="BJ367" s="57"/>
      <c r="BK367" s="57"/>
      <c r="BL367" s="57"/>
      <c r="BM367" s="57"/>
      <c r="BN367" s="57"/>
      <c r="BO367" s="57"/>
      <c r="BP367" s="57"/>
      <c r="BQ367" s="57"/>
      <c r="BR367" s="57"/>
    </row>
    <row r="368" spans="1:70" x14ac:dyDescent="0.25">
      <c r="A368" s="57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S368" s="57"/>
      <c r="T368" s="57"/>
      <c r="U368" s="57"/>
      <c r="V368" s="57"/>
      <c r="W368" s="57"/>
      <c r="X368" s="57"/>
      <c r="Y368" s="57"/>
      <c r="Z368" s="57"/>
      <c r="AA368" s="57"/>
      <c r="AB368" s="57"/>
      <c r="AC368" s="57"/>
      <c r="AD368" s="57"/>
      <c r="AE368" s="57"/>
      <c r="AF368" s="57"/>
      <c r="AG368" s="57"/>
      <c r="AH368" s="57"/>
      <c r="AI368" s="57"/>
      <c r="AJ368" s="57"/>
      <c r="AK368" s="57"/>
      <c r="AL368" s="57"/>
      <c r="AM368" s="57"/>
      <c r="AN368" s="57"/>
      <c r="AO368" s="57"/>
      <c r="AP368" s="57"/>
      <c r="AQ368" s="57"/>
      <c r="AR368" s="57"/>
      <c r="AS368" s="57"/>
      <c r="AT368" s="57"/>
      <c r="AU368" s="57"/>
      <c r="AV368" s="57"/>
      <c r="AW368" s="57"/>
      <c r="AX368" s="57"/>
      <c r="AY368" s="57"/>
      <c r="AZ368" s="57"/>
      <c r="BA368" s="57"/>
      <c r="BB368" s="57"/>
      <c r="BC368" s="57"/>
      <c r="BD368" s="57"/>
      <c r="BE368" s="57"/>
      <c r="BF368" s="57"/>
      <c r="BG368" s="57"/>
      <c r="BH368" s="57"/>
      <c r="BI368" s="57"/>
      <c r="BJ368" s="57"/>
      <c r="BK368" s="57"/>
      <c r="BL368" s="57"/>
      <c r="BM368" s="57"/>
      <c r="BN368" s="57"/>
      <c r="BO368" s="57"/>
      <c r="BP368" s="57"/>
      <c r="BQ368" s="57"/>
      <c r="BR368" s="57"/>
    </row>
    <row r="369" spans="1:70" x14ac:dyDescent="0.25">
      <c r="A369" s="57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S369" s="57"/>
      <c r="T369" s="57"/>
      <c r="U369" s="57"/>
      <c r="V369" s="57"/>
      <c r="W369" s="57"/>
      <c r="X369" s="57"/>
      <c r="Y369" s="57"/>
      <c r="Z369" s="57"/>
      <c r="AA369" s="57"/>
      <c r="AB369" s="57"/>
      <c r="AC369" s="57"/>
      <c r="AD369" s="57"/>
      <c r="AE369" s="57"/>
      <c r="AF369" s="57"/>
      <c r="AG369" s="57"/>
      <c r="AH369" s="57"/>
      <c r="AI369" s="57"/>
      <c r="AJ369" s="57"/>
      <c r="AK369" s="57"/>
      <c r="AL369" s="57"/>
      <c r="AM369" s="57"/>
      <c r="AN369" s="57"/>
      <c r="AO369" s="57"/>
      <c r="AP369" s="57"/>
      <c r="AQ369" s="57"/>
      <c r="AR369" s="57"/>
      <c r="AS369" s="57"/>
      <c r="AT369" s="57"/>
      <c r="AU369" s="57"/>
      <c r="AV369" s="57"/>
      <c r="AW369" s="57"/>
      <c r="AX369" s="57"/>
      <c r="AY369" s="57"/>
      <c r="AZ369" s="57"/>
      <c r="BA369" s="57"/>
      <c r="BB369" s="57"/>
      <c r="BC369" s="57"/>
      <c r="BD369" s="57"/>
      <c r="BE369" s="57"/>
      <c r="BF369" s="57"/>
      <c r="BG369" s="57"/>
      <c r="BH369" s="57"/>
      <c r="BI369" s="57"/>
      <c r="BJ369" s="57"/>
      <c r="BK369" s="57"/>
      <c r="BL369" s="57"/>
      <c r="BM369" s="57"/>
      <c r="BN369" s="57"/>
      <c r="BO369" s="57"/>
      <c r="BP369" s="57"/>
      <c r="BQ369" s="57"/>
      <c r="BR369" s="57"/>
    </row>
    <row r="370" spans="1:70" x14ac:dyDescent="0.25">
      <c r="A370" s="57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S370" s="57"/>
      <c r="T370" s="57"/>
      <c r="U370" s="57"/>
      <c r="V370" s="57"/>
      <c r="W370" s="57"/>
      <c r="X370" s="57"/>
      <c r="Y370" s="57"/>
      <c r="Z370" s="57"/>
      <c r="AA370" s="57"/>
      <c r="AB370" s="57"/>
      <c r="AC370" s="57"/>
      <c r="AD370" s="57"/>
      <c r="AE370" s="57"/>
      <c r="AF370" s="57"/>
      <c r="AG370" s="57"/>
      <c r="AH370" s="57"/>
      <c r="AI370" s="57"/>
      <c r="AJ370" s="57"/>
      <c r="AK370" s="57"/>
      <c r="AL370" s="57"/>
      <c r="AM370" s="57"/>
      <c r="AN370" s="57"/>
      <c r="AO370" s="57"/>
      <c r="AP370" s="57"/>
      <c r="AQ370" s="57"/>
      <c r="AR370" s="57"/>
      <c r="AS370" s="57"/>
      <c r="AT370" s="57"/>
      <c r="AU370" s="57"/>
      <c r="AV370" s="57"/>
      <c r="AW370" s="57"/>
      <c r="AX370" s="57"/>
      <c r="AY370" s="57"/>
      <c r="AZ370" s="57"/>
      <c r="BA370" s="57"/>
      <c r="BB370" s="57"/>
      <c r="BC370" s="57"/>
      <c r="BD370" s="57"/>
      <c r="BE370" s="57"/>
      <c r="BF370" s="57"/>
      <c r="BG370" s="57"/>
      <c r="BH370" s="57"/>
      <c r="BI370" s="57"/>
      <c r="BJ370" s="57"/>
      <c r="BK370" s="57"/>
      <c r="BL370" s="57"/>
      <c r="BM370" s="57"/>
      <c r="BN370" s="57"/>
      <c r="BO370" s="57"/>
      <c r="BP370" s="57"/>
      <c r="BQ370" s="57"/>
      <c r="BR370" s="57"/>
    </row>
    <row r="371" spans="1:70" x14ac:dyDescent="0.25">
      <c r="A371" s="57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S371" s="57"/>
      <c r="T371" s="57"/>
      <c r="U371" s="57"/>
      <c r="V371" s="57"/>
      <c r="W371" s="57"/>
      <c r="X371" s="57"/>
      <c r="Y371" s="57"/>
      <c r="Z371" s="57"/>
      <c r="AA371" s="57"/>
      <c r="AB371" s="57"/>
      <c r="AC371" s="57"/>
      <c r="AD371" s="57"/>
      <c r="AE371" s="57"/>
      <c r="AF371" s="57"/>
      <c r="AG371" s="57"/>
      <c r="AH371" s="57"/>
      <c r="AI371" s="57"/>
      <c r="AJ371" s="57"/>
      <c r="AK371" s="57"/>
      <c r="AL371" s="57"/>
      <c r="AM371" s="57"/>
      <c r="AN371" s="57"/>
      <c r="AO371" s="57"/>
      <c r="AP371" s="57"/>
      <c r="AQ371" s="57"/>
      <c r="AR371" s="57"/>
      <c r="AS371" s="57"/>
      <c r="AT371" s="57"/>
      <c r="AU371" s="57"/>
      <c r="AV371" s="57"/>
      <c r="AW371" s="57"/>
      <c r="AX371" s="57"/>
      <c r="AY371" s="57"/>
      <c r="AZ371" s="57"/>
      <c r="BA371" s="57"/>
      <c r="BB371" s="57"/>
      <c r="BC371" s="57"/>
      <c r="BD371" s="57"/>
      <c r="BE371" s="57"/>
      <c r="BF371" s="57"/>
      <c r="BG371" s="57"/>
      <c r="BH371" s="57"/>
      <c r="BI371" s="57"/>
      <c r="BJ371" s="57"/>
      <c r="BK371" s="57"/>
      <c r="BL371" s="57"/>
      <c r="BM371" s="57"/>
      <c r="BN371" s="57"/>
      <c r="BO371" s="57"/>
      <c r="BP371" s="57"/>
      <c r="BQ371" s="57"/>
      <c r="BR371" s="57"/>
    </row>
    <row r="372" spans="1:70" x14ac:dyDescent="0.25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W372" s="57"/>
      <c r="X372" s="57"/>
      <c r="Y372" s="57"/>
      <c r="Z372" s="57"/>
      <c r="AA372" s="57"/>
      <c r="AB372" s="57"/>
      <c r="AC372" s="57"/>
      <c r="AD372" s="57"/>
      <c r="AE372" s="57"/>
      <c r="AF372" s="57"/>
      <c r="AG372" s="57"/>
      <c r="AH372" s="57"/>
      <c r="AI372" s="57"/>
      <c r="AJ372" s="57"/>
      <c r="AK372" s="57"/>
      <c r="AL372" s="57"/>
      <c r="AM372" s="57"/>
      <c r="AN372" s="57"/>
      <c r="AO372" s="57"/>
      <c r="AP372" s="57"/>
      <c r="AQ372" s="57"/>
      <c r="AR372" s="57"/>
      <c r="AS372" s="57"/>
      <c r="AT372" s="57"/>
      <c r="AU372" s="57"/>
      <c r="AV372" s="57"/>
      <c r="AW372" s="57"/>
      <c r="AX372" s="57"/>
      <c r="AY372" s="57"/>
      <c r="AZ372" s="57"/>
      <c r="BA372" s="57"/>
      <c r="BB372" s="57"/>
      <c r="BC372" s="57"/>
      <c r="BD372" s="57"/>
      <c r="BE372" s="57"/>
      <c r="BF372" s="57"/>
      <c r="BG372" s="57"/>
      <c r="BH372" s="57"/>
      <c r="BI372" s="57"/>
      <c r="BJ372" s="57"/>
      <c r="BK372" s="57"/>
      <c r="BL372" s="57"/>
      <c r="BM372" s="57"/>
      <c r="BN372" s="57"/>
      <c r="BO372" s="57"/>
      <c r="BP372" s="57"/>
      <c r="BQ372" s="57"/>
      <c r="BR372" s="57"/>
    </row>
    <row r="373" spans="1:70" x14ac:dyDescent="0.25">
      <c r="A373" s="57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M373" s="57"/>
      <c r="N373" s="57"/>
      <c r="O373" s="57"/>
      <c r="P373" s="57"/>
      <c r="X373" s="57"/>
      <c r="Y373" s="57"/>
      <c r="Z373" s="57"/>
      <c r="AA373" s="57"/>
      <c r="AB373" s="57"/>
      <c r="AC373" s="57"/>
      <c r="AD373" s="57"/>
      <c r="AE373" s="57"/>
      <c r="AF373" s="57"/>
      <c r="AG373" s="57"/>
      <c r="AH373" s="57"/>
      <c r="AI373" s="57"/>
      <c r="AJ373" s="57"/>
      <c r="AK373" s="57"/>
      <c r="AL373" s="57"/>
      <c r="AM373" s="57"/>
      <c r="AN373" s="57"/>
      <c r="AO373" s="57"/>
      <c r="AP373" s="57"/>
      <c r="AQ373" s="57"/>
      <c r="AR373" s="57"/>
      <c r="AS373" s="57"/>
      <c r="AT373" s="57"/>
      <c r="AU373" s="57"/>
      <c r="AV373" s="57"/>
      <c r="AW373" s="57"/>
      <c r="AX373" s="57"/>
      <c r="AY373" s="57"/>
      <c r="AZ373" s="57"/>
      <c r="BA373" s="57"/>
      <c r="BB373" s="57"/>
      <c r="BC373" s="57"/>
      <c r="BD373" s="57"/>
      <c r="BE373" s="57"/>
      <c r="BF373" s="57"/>
      <c r="BG373" s="57"/>
      <c r="BH373" s="57"/>
      <c r="BI373" s="57"/>
      <c r="BJ373" s="57"/>
      <c r="BK373" s="57"/>
      <c r="BL373" s="57"/>
      <c r="BM373" s="57"/>
      <c r="BN373" s="57"/>
      <c r="BO373" s="57"/>
      <c r="BP373" s="57"/>
      <c r="BQ373" s="57"/>
      <c r="BR373" s="57"/>
    </row>
  </sheetData>
  <sheetProtection selectLockedCells="1"/>
  <mergeCells count="1">
    <mergeCell ref="A1:P1"/>
  </mergeCells>
  <dataValidations count="23">
    <dataValidation type="list" errorStyle="warning" allowBlank="1" showInputMessage="1" showErrorMessage="1" prompt="Use drop down box to select from your team list once Team 1 in selected in cell B3_x000a_" sqref="B8">
      <formula1>INDIRECT(B4)</formula1>
    </dataValidation>
    <dataValidation type="list" errorStyle="warning" allowBlank="1" showInputMessage="1" showErrorMessage="1" prompt="Use drop down box to select from your team list once Team 1 in selected in cell B3_x000a_" sqref="B9">
      <formula1>INDIRECT(B4)</formula1>
    </dataValidation>
    <dataValidation type="list" errorStyle="warning" allowBlank="1" showInputMessage="1" showErrorMessage="1" prompt="Use drop down box to select from your team list once Team 1 in selected in cell B3_x000a_" sqref="B10">
      <formula1>INDIRECT(B4)</formula1>
    </dataValidation>
    <dataValidation type="list" errorStyle="warning" allowBlank="1" showInputMessage="1" showErrorMessage="1" prompt="Use drop down box to select from your team list once Team 1 in selected in cell B3_x000a_" sqref="B11">
      <formula1>INDIRECT(B4)</formula1>
    </dataValidation>
    <dataValidation type="list" errorStyle="warning" allowBlank="1" showInputMessage="1" showErrorMessage="1" prompt="Use drop down box to select from your team list once Team 1 in selected in cell B3_x000a_" sqref="B12">
      <formula1>INDIRECT(B4)</formula1>
    </dataValidation>
    <dataValidation type="list" errorStyle="warning" allowBlank="1" showInputMessage="1" showErrorMessage="1" prompt="Use drop down box to select from your team list once Team 1 in selected in cell B3_x000a_" sqref="B13">
      <formula1>INDIRECT(B4)</formula1>
    </dataValidation>
    <dataValidation type="list" errorStyle="warning" allowBlank="1" showInputMessage="1" showErrorMessage="1" prompt="Use drop down box to select from your team list once Team 1 in selected in cell B3_x000a_" sqref="B14">
      <formula1>INDIRECT(B4)</formula1>
    </dataValidation>
    <dataValidation type="list" errorStyle="warning" allowBlank="1" showInputMessage="1" showErrorMessage="1" prompt="Use drop down box to select from your team list once Team 1 in selected in cell B3_x000a_" sqref="B15">
      <formula1>INDIRECT(B4)</formula1>
    </dataValidation>
    <dataValidation type="list" errorStyle="warning" allowBlank="1" showInputMessage="1" showErrorMessage="1" prompt="Use drop down box to select from your team list once Team 1 in selected in cell B3_x000a_" sqref="B16">
      <formula1>INDIRECT(B4)</formula1>
    </dataValidation>
    <dataValidation type="list" errorStyle="warning" allowBlank="1" showInputMessage="1" showErrorMessage="1" prompt="Use drop down box to select from your team list once Team 1 in selected in cell B3_x000a_" sqref="B17">
      <formula1>INDIRECT(B4)</formula1>
    </dataValidation>
    <dataValidation type="list" errorStyle="warning" allowBlank="1" showInputMessage="1" showErrorMessage="1" prompt="Use drop down box to select from your team list once Team 1 in selected in cell B3_x000a_" sqref="B18">
      <formula1>INDIRECT(B4)</formula1>
    </dataValidation>
    <dataValidation type="list" errorStyle="warning" allowBlank="1" showInputMessage="1" showErrorMessage="1" prompt="Use drop down box to select from your team list once Team 1 in selected in cell B3_x000a_" sqref="B19">
      <formula1>INDIRECT(B$4)</formula1>
    </dataValidation>
    <dataValidation type="list" allowBlank="1" showInputMessage="1" showErrorMessage="1" sqref="D8:D18 D26:D36">
      <formula1>INDIRECT(B$3)</formula1>
    </dataValidation>
    <dataValidation type="list" allowBlank="1" showInputMessage="1" showErrorMessage="1" sqref="C34:C35">
      <formula1>INDIRECT(B$3)</formula1>
    </dataValidation>
    <dataValidation type="list" allowBlank="1" showInputMessage="1" showErrorMessage="1" sqref="F4">
      <formula1>$B$40:$B$41</formula1>
    </dataValidation>
    <dataValidation type="list" allowBlank="1" showInputMessage="1" showErrorMessage="1" sqref="F3">
      <formula1>$B$3:$B$4</formula1>
    </dataValidation>
    <dataValidation type="list" allowBlank="1" showInputMessage="1" showErrorMessage="1" sqref="C8:C18">
      <formula1>$C$45:$C$54</formula1>
    </dataValidation>
    <dataValidation type="list" allowBlank="1" showInputMessage="1" showErrorMessage="1" sqref="B5">
      <formula1>$B$45:$B$50</formula1>
    </dataValidation>
    <dataValidation type="list" allowBlank="1" showInputMessage="1" showErrorMessage="1" sqref="B2">
      <formula1>$C$40:$C$42</formula1>
    </dataValidation>
    <dataValidation type="list" allowBlank="1" showInputMessage="1" showErrorMessage="1" sqref="B3:B4">
      <formula1>$A$40:$A$55</formula1>
    </dataValidation>
    <dataValidation type="list" allowBlank="1" showInputMessage="1" showErrorMessage="1" sqref="E8:E18">
      <formula1>$D$26:$D$36</formula1>
    </dataValidation>
    <dataValidation type="list" allowBlank="1" showInputMessage="1" showErrorMessage="1" sqref="O8:P18">
      <formula1>$B$8:$B$18</formula1>
    </dataValidation>
    <dataValidation type="list" allowBlank="1" showInputMessage="1" showErrorMessage="1" sqref="F22">
      <formula1>$D$45:$D$48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4" workbookViewId="0">
      <selection activeCell="A8" sqref="A8:XFD8"/>
    </sheetView>
  </sheetViews>
  <sheetFormatPr defaultRowHeight="15" x14ac:dyDescent="0.25"/>
  <sheetData>
    <row r="1" spans="1:1" x14ac:dyDescent="0.25">
      <c r="A1" s="60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6" spans="1:1" x14ac:dyDescent="0.25">
      <c r="A6" s="60" t="s">
        <v>112</v>
      </c>
    </row>
    <row r="7" spans="1:1" x14ac:dyDescent="0.25">
      <c r="A7" t="s">
        <v>118</v>
      </c>
    </row>
    <row r="8" spans="1:1" x14ac:dyDescent="0.25">
      <c r="A8" t="s">
        <v>345</v>
      </c>
    </row>
    <row r="9" spans="1:1" x14ac:dyDescent="0.25">
      <c r="A9" t="s">
        <v>89</v>
      </c>
    </row>
    <row r="10" spans="1:1" x14ac:dyDescent="0.25">
      <c r="A10" t="s">
        <v>214</v>
      </c>
    </row>
    <row r="11" spans="1:1" x14ac:dyDescent="0.25">
      <c r="A11" t="s">
        <v>119</v>
      </c>
    </row>
    <row r="12" spans="1:1" x14ac:dyDescent="0.25">
      <c r="A12" t="s">
        <v>90</v>
      </c>
    </row>
    <row r="13" spans="1:1" x14ac:dyDescent="0.25">
      <c r="A13" t="s">
        <v>92</v>
      </c>
    </row>
    <row r="14" spans="1:1" x14ac:dyDescent="0.25">
      <c r="A14" t="s">
        <v>215</v>
      </c>
    </row>
    <row r="15" spans="1:1" x14ac:dyDescent="0.25">
      <c r="A15" t="s">
        <v>91</v>
      </c>
    </row>
    <row r="16" spans="1:1" x14ac:dyDescent="0.25">
      <c r="A16" t="s">
        <v>99</v>
      </c>
    </row>
    <row r="18" spans="1:12" x14ac:dyDescent="0.25">
      <c r="A18" s="60" t="s">
        <v>111</v>
      </c>
    </row>
    <row r="19" spans="1:12" x14ac:dyDescent="0.25">
      <c r="A19" t="s">
        <v>96</v>
      </c>
      <c r="B19" t="s">
        <v>158</v>
      </c>
    </row>
    <row r="20" spans="1:12" x14ac:dyDescent="0.25">
      <c r="A20" t="s">
        <v>93</v>
      </c>
      <c r="B20" t="s">
        <v>340</v>
      </c>
    </row>
    <row r="21" spans="1:12" x14ac:dyDescent="0.25">
      <c r="A21" t="s">
        <v>94</v>
      </c>
      <c r="B21" t="s">
        <v>103</v>
      </c>
    </row>
    <row r="22" spans="1:12" x14ac:dyDescent="0.25">
      <c r="A22" t="s">
        <v>95</v>
      </c>
      <c r="B22" t="s">
        <v>101</v>
      </c>
    </row>
    <row r="23" spans="1:12" x14ac:dyDescent="0.25">
      <c r="A23" t="s">
        <v>97</v>
      </c>
      <c r="B23" t="s">
        <v>102</v>
      </c>
    </row>
    <row r="24" spans="1:12" x14ac:dyDescent="0.25">
      <c r="A24" t="s">
        <v>98</v>
      </c>
      <c r="B24" t="s">
        <v>341</v>
      </c>
    </row>
    <row r="25" spans="1:12" x14ac:dyDescent="0.25">
      <c r="A25" t="s">
        <v>100</v>
      </c>
      <c r="K25" t="s">
        <v>104</v>
      </c>
      <c r="L25" t="s">
        <v>343</v>
      </c>
    </row>
    <row r="26" spans="1:12" x14ac:dyDescent="0.25">
      <c r="L26" t="s">
        <v>342</v>
      </c>
    </row>
    <row r="48" spans="1:2" x14ac:dyDescent="0.25">
      <c r="A48" t="s">
        <v>105</v>
      </c>
      <c r="B48" t="s">
        <v>106</v>
      </c>
    </row>
    <row r="50" spans="1:1" x14ac:dyDescent="0.25">
      <c r="A50" s="60" t="s">
        <v>108</v>
      </c>
    </row>
    <row r="51" spans="1:1" x14ac:dyDescent="0.25">
      <c r="A51" s="59" t="s">
        <v>110</v>
      </c>
    </row>
    <row r="52" spans="1:1" x14ac:dyDescent="0.25">
      <c r="A52" s="59" t="s">
        <v>109</v>
      </c>
    </row>
    <row r="53" spans="1:1" x14ac:dyDescent="0.25">
      <c r="A53" s="59" t="s">
        <v>117</v>
      </c>
    </row>
    <row r="54" spans="1:1" x14ac:dyDescent="0.25">
      <c r="A54" s="69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zoomScale="75" zoomScaleNormal="75" workbookViewId="0">
      <selection activeCell="D57" sqref="A34:D57"/>
    </sheetView>
  </sheetViews>
  <sheetFormatPr defaultRowHeight="15" x14ac:dyDescent="0.25"/>
  <cols>
    <col min="4" max="4" width="28.7109375" customWidth="1"/>
    <col min="6" max="6" width="14" customWidth="1"/>
    <col min="7" max="7" width="13.28515625" customWidth="1"/>
    <col min="10" max="10" width="12.140625" customWidth="1"/>
    <col min="12" max="12" width="39.5703125" customWidth="1"/>
    <col min="14" max="14" width="12.42578125" customWidth="1"/>
  </cols>
  <sheetData>
    <row r="1" spans="1:18" ht="15.75" thickBot="1" x14ac:dyDescent="0.3"/>
    <row r="2" spans="1:18" ht="15.75" thickBot="1" x14ac:dyDescent="0.3">
      <c r="A2" t="s">
        <v>125</v>
      </c>
      <c r="C2" s="61" t="s">
        <v>126</v>
      </c>
      <c r="D2" s="62"/>
      <c r="F2" s="61" t="s">
        <v>127</v>
      </c>
      <c r="G2" s="64"/>
      <c r="I2" s="61" t="s">
        <v>128</v>
      </c>
      <c r="J2" s="62"/>
      <c r="M2" s="65" t="s">
        <v>37</v>
      </c>
      <c r="N2" s="65" t="s">
        <v>133</v>
      </c>
      <c r="O2" s="65" t="s">
        <v>59</v>
      </c>
      <c r="P2" s="65" t="s">
        <v>134</v>
      </c>
      <c r="Q2" s="65" t="s">
        <v>136</v>
      </c>
      <c r="R2" s="65" t="s">
        <v>145</v>
      </c>
    </row>
    <row r="3" spans="1:18" ht="15.75" thickBot="1" x14ac:dyDescent="0.3">
      <c r="A3" t="s">
        <v>124</v>
      </c>
      <c r="C3" s="61" t="s">
        <v>126</v>
      </c>
      <c r="D3" s="63"/>
      <c r="F3" s="61" t="s">
        <v>127</v>
      </c>
      <c r="G3" s="62"/>
      <c r="I3" s="61" t="s">
        <v>128</v>
      </c>
      <c r="J3" s="63"/>
      <c r="M3" s="66" t="s">
        <v>132</v>
      </c>
      <c r="N3" s="67" t="s">
        <v>57</v>
      </c>
      <c r="O3" s="68" t="s">
        <v>60</v>
      </c>
      <c r="P3" s="67" t="s">
        <v>135</v>
      </c>
      <c r="Q3" s="67" t="s">
        <v>137</v>
      </c>
      <c r="R3" s="67" t="s">
        <v>143</v>
      </c>
    </row>
    <row r="4" spans="1:18" ht="15.75" thickBot="1" x14ac:dyDescent="0.3">
      <c r="A4" t="s">
        <v>122</v>
      </c>
      <c r="D4" s="62"/>
      <c r="M4" s="66" t="s">
        <v>38</v>
      </c>
      <c r="N4" s="67" t="s">
        <v>140</v>
      </c>
      <c r="O4" s="67" t="s">
        <v>44</v>
      </c>
      <c r="P4" s="67" t="s">
        <v>51</v>
      </c>
      <c r="Q4" s="67" t="s">
        <v>138</v>
      </c>
      <c r="R4" s="67" t="s">
        <v>144</v>
      </c>
    </row>
    <row r="5" spans="1:18" ht="15.75" thickBot="1" x14ac:dyDescent="0.3">
      <c r="A5" t="s">
        <v>0</v>
      </c>
      <c r="D5" s="62"/>
      <c r="M5" s="67" t="s">
        <v>39</v>
      </c>
      <c r="N5" s="67" t="s">
        <v>13</v>
      </c>
      <c r="O5" s="67" t="s">
        <v>61</v>
      </c>
      <c r="P5" s="67"/>
      <c r="Q5" s="67" t="s">
        <v>139</v>
      </c>
      <c r="R5" s="67" t="s">
        <v>157</v>
      </c>
    </row>
    <row r="6" spans="1:18" ht="15.75" thickBot="1" x14ac:dyDescent="0.3">
      <c r="A6" t="s">
        <v>59</v>
      </c>
      <c r="D6" s="62"/>
      <c r="M6" s="67" t="s">
        <v>40</v>
      </c>
      <c r="N6" s="67" t="s">
        <v>141</v>
      </c>
      <c r="O6" s="67" t="s">
        <v>62</v>
      </c>
      <c r="P6" s="67"/>
      <c r="Q6" s="67"/>
      <c r="R6" s="67"/>
    </row>
    <row r="7" spans="1:18" ht="15.75" thickBot="1" x14ac:dyDescent="0.3">
      <c r="A7" t="s">
        <v>37</v>
      </c>
      <c r="D7" s="62"/>
      <c r="E7" s="1" t="s">
        <v>123</v>
      </c>
      <c r="F7" s="62"/>
      <c r="M7" s="67" t="s">
        <v>41</v>
      </c>
      <c r="N7" s="67" t="s">
        <v>142</v>
      </c>
      <c r="O7" s="67" t="s">
        <v>63</v>
      </c>
      <c r="P7" s="67"/>
      <c r="Q7" s="67"/>
      <c r="R7" s="67"/>
    </row>
    <row r="8" spans="1:18" ht="15.75" thickBot="1" x14ac:dyDescent="0.3">
      <c r="A8" t="s">
        <v>120</v>
      </c>
      <c r="D8" s="62"/>
      <c r="M8" s="67" t="s">
        <v>42</v>
      </c>
      <c r="N8" s="67"/>
      <c r="O8" s="67" t="s">
        <v>64</v>
      </c>
      <c r="P8" s="67"/>
      <c r="Q8" s="67"/>
      <c r="R8" s="67"/>
    </row>
    <row r="9" spans="1:18" ht="15.75" thickBot="1" x14ac:dyDescent="0.3">
      <c r="A9" t="s">
        <v>121</v>
      </c>
      <c r="D9" s="62"/>
      <c r="M9" s="67" t="s">
        <v>43</v>
      </c>
      <c r="N9" s="67"/>
      <c r="O9" s="67"/>
      <c r="P9" s="67"/>
      <c r="Q9" s="67"/>
      <c r="R9" s="67"/>
    </row>
    <row r="10" spans="1:18" ht="15.75" thickBot="1" x14ac:dyDescent="0.3">
      <c r="A10" t="s">
        <v>129</v>
      </c>
      <c r="M10" s="67" t="s">
        <v>83</v>
      </c>
      <c r="N10" s="67"/>
      <c r="O10" s="67"/>
      <c r="P10" s="67"/>
      <c r="Q10" s="67"/>
      <c r="R10" s="67"/>
    </row>
    <row r="11" spans="1:18" ht="15.75" thickBot="1" x14ac:dyDescent="0.3">
      <c r="A11" t="s">
        <v>130</v>
      </c>
      <c r="D11" s="61" t="s">
        <v>155</v>
      </c>
      <c r="E11" s="62"/>
      <c r="F11" s="61" t="s">
        <v>156</v>
      </c>
      <c r="G11" s="62"/>
      <c r="M11" s="67" t="s">
        <v>44</v>
      </c>
      <c r="N11" s="67"/>
      <c r="O11" s="67"/>
      <c r="P11" s="67"/>
      <c r="Q11" s="67"/>
      <c r="R11" s="67"/>
    </row>
    <row r="12" spans="1:18" ht="15.75" thickBot="1" x14ac:dyDescent="0.3">
      <c r="A12" t="s">
        <v>131</v>
      </c>
      <c r="E12" s="63"/>
      <c r="M12" s="67" t="s">
        <v>84</v>
      </c>
      <c r="N12" s="67"/>
      <c r="O12" s="67"/>
      <c r="P12" s="67"/>
      <c r="Q12" s="67"/>
      <c r="R12" s="67"/>
    </row>
    <row r="13" spans="1:18" ht="15.75" thickBot="1" x14ac:dyDescent="0.3">
      <c r="A13" t="s">
        <v>146</v>
      </c>
      <c r="E13" s="62"/>
      <c r="M13" s="67" t="s">
        <v>45</v>
      </c>
      <c r="N13" s="67"/>
      <c r="O13" s="67"/>
      <c r="P13" s="67"/>
      <c r="Q13" s="67"/>
      <c r="R13" s="67"/>
    </row>
    <row r="14" spans="1:18" x14ac:dyDescent="0.25">
      <c r="M14" s="67" t="s">
        <v>85</v>
      </c>
      <c r="N14" s="67"/>
      <c r="O14" s="67"/>
      <c r="P14" s="67"/>
      <c r="Q14" s="67"/>
      <c r="R14" s="67"/>
    </row>
    <row r="15" spans="1:18" ht="15.75" thickBot="1" x14ac:dyDescent="0.3">
      <c r="A15" t="s">
        <v>147</v>
      </c>
      <c r="F15" t="s">
        <v>154</v>
      </c>
      <c r="M15" s="67" t="s">
        <v>86</v>
      </c>
      <c r="N15" s="67"/>
      <c r="O15" s="67"/>
      <c r="P15" s="67"/>
      <c r="Q15" s="67"/>
      <c r="R15" s="67"/>
    </row>
    <row r="16" spans="1:18" ht="15.75" thickBot="1" x14ac:dyDescent="0.3">
      <c r="A16" t="s">
        <v>148</v>
      </c>
      <c r="D16" s="2"/>
      <c r="F16" s="174"/>
      <c r="G16" s="175"/>
      <c r="H16" s="175"/>
      <c r="I16" s="175"/>
      <c r="J16" s="175"/>
      <c r="K16" s="175"/>
      <c r="L16" s="176"/>
      <c r="M16" s="67" t="s">
        <v>87</v>
      </c>
      <c r="N16" s="67"/>
      <c r="O16" s="67"/>
      <c r="P16" s="67"/>
      <c r="Q16" s="67"/>
      <c r="R16" s="67"/>
    </row>
    <row r="17" spans="1:18" ht="15.75" thickBot="1" x14ac:dyDescent="0.3">
      <c r="A17" t="s">
        <v>149</v>
      </c>
      <c r="D17" s="2"/>
      <c r="F17" s="171"/>
      <c r="G17" s="172"/>
      <c r="H17" s="172"/>
      <c r="I17" s="172"/>
      <c r="J17" s="172"/>
      <c r="K17" s="172"/>
      <c r="L17" s="173"/>
      <c r="M17" s="67" t="s">
        <v>46</v>
      </c>
      <c r="N17" s="67"/>
      <c r="O17" s="67"/>
      <c r="P17" s="67"/>
      <c r="Q17" s="67"/>
      <c r="R17" s="67"/>
    </row>
    <row r="18" spans="1:18" ht="15.75" thickBot="1" x14ac:dyDescent="0.3">
      <c r="A18" t="s">
        <v>150</v>
      </c>
      <c r="D18" s="2"/>
      <c r="F18" s="177"/>
      <c r="G18" s="178"/>
      <c r="H18" s="178"/>
      <c r="I18" s="178"/>
      <c r="J18" s="178"/>
      <c r="K18" s="178"/>
      <c r="L18" s="179"/>
      <c r="M18" s="67" t="s">
        <v>47</v>
      </c>
      <c r="N18" s="67"/>
      <c r="O18" s="67"/>
      <c r="P18" s="67"/>
      <c r="Q18" s="67"/>
      <c r="R18" s="67"/>
    </row>
    <row r="19" spans="1:18" ht="15.75" thickBot="1" x14ac:dyDescent="0.3">
      <c r="A19" t="s">
        <v>151</v>
      </c>
      <c r="D19" s="2"/>
      <c r="F19" s="171"/>
      <c r="G19" s="172"/>
      <c r="H19" s="172"/>
      <c r="I19" s="172"/>
      <c r="J19" s="172"/>
      <c r="K19" s="172"/>
      <c r="L19" s="173"/>
      <c r="M19" s="67" t="s">
        <v>48</v>
      </c>
      <c r="N19" s="67"/>
      <c r="O19" s="67"/>
      <c r="P19" s="67"/>
      <c r="Q19" s="67"/>
      <c r="R19" s="67"/>
    </row>
    <row r="20" spans="1:18" ht="15.75" thickBot="1" x14ac:dyDescent="0.3">
      <c r="A20" t="s">
        <v>152</v>
      </c>
      <c r="D20" s="2"/>
      <c r="F20" s="180"/>
      <c r="G20" s="181"/>
      <c r="H20" s="181"/>
      <c r="I20" s="181"/>
      <c r="J20" s="181"/>
      <c r="K20" s="181"/>
      <c r="L20" s="182"/>
    </row>
    <row r="21" spans="1:18" ht="15.75" thickBot="1" x14ac:dyDescent="0.3">
      <c r="A21" t="s">
        <v>153</v>
      </c>
      <c r="D21" s="2"/>
      <c r="F21" s="171"/>
      <c r="G21" s="172"/>
      <c r="H21" s="172"/>
      <c r="I21" s="172"/>
      <c r="J21" s="172"/>
      <c r="K21" s="172"/>
      <c r="L21" s="173"/>
    </row>
    <row r="34" spans="1:6" x14ac:dyDescent="0.25">
      <c r="A34" s="164"/>
      <c r="B34" s="164"/>
      <c r="C34" s="164"/>
      <c r="D34" s="165"/>
      <c r="F34" s="60"/>
    </row>
    <row r="35" spans="1:6" x14ac:dyDescent="0.25">
      <c r="A35" s="164"/>
      <c r="B35" s="164"/>
      <c r="C35" s="164"/>
      <c r="D35" s="165"/>
    </row>
    <row r="36" spans="1:6" x14ac:dyDescent="0.25">
      <c r="A36" s="164"/>
      <c r="B36" s="164"/>
      <c r="C36" s="164"/>
      <c r="D36" s="165"/>
    </row>
    <row r="37" spans="1:6" x14ac:dyDescent="0.25">
      <c r="A37" s="164"/>
      <c r="B37" s="164"/>
      <c r="C37" s="164"/>
      <c r="D37" s="165"/>
      <c r="F37" s="60"/>
    </row>
    <row r="38" spans="1:6" x14ac:dyDescent="0.25">
      <c r="A38" s="164"/>
      <c r="B38" s="164"/>
      <c r="C38" s="164"/>
      <c r="D38" s="165"/>
    </row>
    <row r="39" spans="1:6" x14ac:dyDescent="0.25">
      <c r="A39" s="164"/>
      <c r="B39" s="164"/>
      <c r="C39" s="164"/>
      <c r="D39" s="165"/>
    </row>
    <row r="40" spans="1:6" x14ac:dyDescent="0.25">
      <c r="A40" s="164"/>
      <c r="B40" s="164"/>
      <c r="C40" s="164"/>
      <c r="D40" s="165"/>
      <c r="F40" s="162"/>
    </row>
    <row r="41" spans="1:6" x14ac:dyDescent="0.25">
      <c r="A41" s="164"/>
      <c r="B41" s="164"/>
      <c r="C41" s="164"/>
      <c r="D41" s="165"/>
    </row>
    <row r="42" spans="1:6" x14ac:dyDescent="0.25">
      <c r="A42" s="164"/>
      <c r="B42" s="164"/>
      <c r="C42" s="164"/>
      <c r="D42" s="165"/>
    </row>
    <row r="43" spans="1:6" x14ac:dyDescent="0.25">
      <c r="A43" s="164"/>
      <c r="B43" s="164"/>
      <c r="C43" s="164"/>
      <c r="D43" s="165"/>
      <c r="F43" s="60"/>
    </row>
    <row r="44" spans="1:6" x14ac:dyDescent="0.25">
      <c r="A44" s="164"/>
      <c r="B44" s="164"/>
      <c r="C44" s="164"/>
      <c r="D44" s="165"/>
    </row>
    <row r="45" spans="1:6" x14ac:dyDescent="0.25">
      <c r="A45" s="164"/>
      <c r="B45" s="164"/>
      <c r="C45" s="164"/>
      <c r="D45" s="165"/>
    </row>
    <row r="46" spans="1:6" x14ac:dyDescent="0.25">
      <c r="A46" s="164"/>
      <c r="B46" s="164"/>
      <c r="C46" s="164"/>
      <c r="D46" s="165"/>
      <c r="F46" s="60"/>
    </row>
    <row r="47" spans="1:6" x14ac:dyDescent="0.25">
      <c r="A47" s="164"/>
      <c r="B47" s="164"/>
      <c r="C47" s="164"/>
      <c r="D47" s="165"/>
    </row>
    <row r="48" spans="1:6" x14ac:dyDescent="0.25">
      <c r="A48" s="164"/>
      <c r="B48" s="164"/>
      <c r="C48" s="164"/>
      <c r="D48" s="165"/>
    </row>
    <row r="49" spans="1:6" x14ac:dyDescent="0.25">
      <c r="A49" s="164"/>
      <c r="B49" s="164"/>
      <c r="C49" s="164"/>
      <c r="D49" s="165"/>
      <c r="F49" s="162"/>
    </row>
    <row r="50" spans="1:6" x14ac:dyDescent="0.25">
      <c r="A50" s="164"/>
      <c r="B50" s="164"/>
      <c r="C50" s="164"/>
      <c r="D50" s="165"/>
    </row>
    <row r="51" spans="1:6" x14ac:dyDescent="0.25">
      <c r="A51" s="164"/>
      <c r="B51" s="164"/>
      <c r="C51" s="164"/>
      <c r="D51" s="165"/>
      <c r="F51" s="60"/>
    </row>
    <row r="52" spans="1:6" x14ac:dyDescent="0.25">
      <c r="A52" s="164"/>
      <c r="B52" s="164"/>
      <c r="C52" s="164"/>
      <c r="D52" s="165"/>
      <c r="F52" s="60"/>
    </row>
    <row r="53" spans="1:6" x14ac:dyDescent="0.25">
      <c r="A53" s="164"/>
      <c r="B53" s="164"/>
      <c r="C53" s="164"/>
      <c r="D53" s="165"/>
    </row>
    <row r="54" spans="1:6" x14ac:dyDescent="0.25">
      <c r="A54" s="164"/>
      <c r="B54" s="164"/>
      <c r="C54" s="164"/>
      <c r="D54" s="165"/>
    </row>
    <row r="55" spans="1:6" x14ac:dyDescent="0.25">
      <c r="A55" s="164"/>
      <c r="B55" s="164"/>
      <c r="C55" s="164"/>
      <c r="D55" s="165"/>
    </row>
    <row r="56" spans="1:6" x14ac:dyDescent="0.25">
      <c r="A56" s="164"/>
      <c r="B56" s="164"/>
      <c r="C56" s="164"/>
      <c r="D56" s="165"/>
    </row>
    <row r="57" spans="1:6" x14ac:dyDescent="0.25">
      <c r="A57" s="164"/>
      <c r="B57" s="164"/>
      <c r="C57" s="164"/>
      <c r="D57" s="164"/>
    </row>
  </sheetData>
  <sortState ref="D34:D55">
    <sortCondition ref="D34"/>
  </sortState>
  <mergeCells count="6">
    <mergeCell ref="F21:L21"/>
    <mergeCell ref="F16:L16"/>
    <mergeCell ref="F17:L17"/>
    <mergeCell ref="F18:L18"/>
    <mergeCell ref="F19:L19"/>
    <mergeCell ref="F20:L20"/>
  </mergeCells>
  <dataValidations disablePrompts="1" count="8">
    <dataValidation type="list" allowBlank="1" showInputMessage="1" showErrorMessage="1" sqref="D16:D21">
      <formula1>$R$3:$R$4</formula1>
    </dataValidation>
    <dataValidation type="list" allowBlank="1" showInputMessage="1" showErrorMessage="1" sqref="G2:G3">
      <formula1>$M$3:$M$19</formula1>
    </dataValidation>
    <dataValidation type="list" allowBlank="1" showInputMessage="1" showErrorMessage="1" sqref="D7:D8 F7">
      <formula1>$M$4:$M$19</formula1>
    </dataValidation>
    <dataValidation type="list" allowBlank="1" showInputMessage="1" showErrorMessage="1" sqref="D6">
      <formula1>$O$3:$O$8</formula1>
    </dataValidation>
    <dataValidation type="list" allowBlank="1" showInputMessage="1" showErrorMessage="1" sqref="D9">
      <formula1>$P$3:$P$4</formula1>
    </dataValidation>
    <dataValidation type="list" allowBlank="1" showInputMessage="1" showErrorMessage="1" sqref="D4">
      <formula1>$N$3:$N$7</formula1>
    </dataValidation>
    <dataValidation type="list" allowBlank="1" showInputMessage="1" showErrorMessage="1" sqref="J2:J3">
      <formula1>$Q$3:$Q$5</formula1>
    </dataValidation>
    <dataValidation type="list" allowBlank="1" showInputMessage="1" showErrorMessage="1" sqref="E11:E13 G11">
      <formula1>$R$3:$R$5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32</vt:i4>
      </vt:variant>
    </vt:vector>
  </HeadingPairs>
  <TitlesOfParts>
    <vt:vector size="36" baseType="lpstr">
      <vt:lpstr>1st Innings</vt:lpstr>
      <vt:lpstr>2nd Innings</vt:lpstr>
      <vt:lpstr>READ ME Notes</vt:lpstr>
      <vt:lpstr>Umpires Report</vt:lpstr>
      <vt:lpstr>'2nd Innings'!Barbarians</vt:lpstr>
      <vt:lpstr>Barbarians</vt:lpstr>
      <vt:lpstr>'2nd Innings'!Ceylon</vt:lpstr>
      <vt:lpstr>Ceylon</vt:lpstr>
      <vt:lpstr>'2nd Innings'!ChairosTigers</vt:lpstr>
      <vt:lpstr>ChairosTigers</vt:lpstr>
      <vt:lpstr>'2nd Innings'!Challengers</vt:lpstr>
      <vt:lpstr>Challengers</vt:lpstr>
      <vt:lpstr>'2nd Innings'!Emerio</vt:lpstr>
      <vt:lpstr>Emerio</vt:lpstr>
      <vt:lpstr>'2nd Innings'!FezRebels</vt:lpstr>
      <vt:lpstr>FezRebels</vt:lpstr>
      <vt:lpstr>'2nd Innings'!GMIS</vt:lpstr>
      <vt:lpstr>GMIS</vt:lpstr>
      <vt:lpstr>'2nd Innings'!Indorama</vt:lpstr>
      <vt:lpstr>Indorama</vt:lpstr>
      <vt:lpstr>'2nd Innings'!Jaguars</vt:lpstr>
      <vt:lpstr>Jaguars</vt:lpstr>
      <vt:lpstr>'2nd Innings'!Mavecrics</vt:lpstr>
      <vt:lpstr>Mavecrics</vt:lpstr>
      <vt:lpstr>'2nd Innings'!Menara</vt:lpstr>
      <vt:lpstr>Menara</vt:lpstr>
      <vt:lpstr>'2nd Innings'!MetroIndians</vt:lpstr>
      <vt:lpstr>MetroIndians</vt:lpstr>
      <vt:lpstr>'2nd Innings'!SenayanCC</vt:lpstr>
      <vt:lpstr>SenayanCC</vt:lpstr>
      <vt:lpstr>'2nd Innings'!TKCC</vt:lpstr>
      <vt:lpstr>TKCC</vt:lpstr>
      <vt:lpstr>'2nd Innings'!WISCI</vt:lpstr>
      <vt:lpstr>WISCI</vt:lpstr>
      <vt:lpstr>'2nd Innings'!WPPIndia</vt:lpstr>
      <vt:lpstr>WPPIndia</vt:lpstr>
    </vt:vector>
  </TitlesOfParts>
  <Company>BLACK EDITION - tum0r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user35</dc:creator>
  <cp:lastModifiedBy>user35</cp:lastModifiedBy>
  <dcterms:created xsi:type="dcterms:W3CDTF">2015-06-15T05:32:57Z</dcterms:created>
  <dcterms:modified xsi:type="dcterms:W3CDTF">2016-03-16T04:09:10Z</dcterms:modified>
</cp:coreProperties>
</file>