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6510" windowWidth="20340" windowHeight="6330"/>
  </bookViews>
  <sheets>
    <sheet name="1st Innings" sheetId="5" r:id="rId1"/>
    <sheet name="2nd Innings" sheetId="8" r:id="rId2"/>
    <sheet name="READ ME Notes" sheetId="9" r:id="rId3"/>
    <sheet name="Umpires Report" sheetId="10" r:id="rId4"/>
  </sheets>
  <definedNames>
    <definedName name="Barbarians" localSheetId="1">'2nd Innings'!$D$58:$D$90</definedName>
    <definedName name="Barbarians">'1st Innings'!$D$58:$D$90</definedName>
    <definedName name="Ceylon" localSheetId="1">'2nd Innings'!$B$58:$B$88</definedName>
    <definedName name="Ceylon">'1st Innings'!$B$58:$B$88</definedName>
    <definedName name="ChairosTigers" localSheetId="1">'2nd Innings'!$L$58:$L$85</definedName>
    <definedName name="ChairosTigers">'1st Innings'!$L$58:$L$85</definedName>
    <definedName name="Challengers" localSheetId="1">'2nd Innings'!$J$58:$J$85</definedName>
    <definedName name="Challengers">'1st Innings'!$J$58:$J$85</definedName>
    <definedName name="Emerio" localSheetId="1">'2nd Innings'!$C$58:$C$95</definedName>
    <definedName name="Emerio">'1st Innings'!$C$58:$C$95</definedName>
    <definedName name="FezRebels" localSheetId="1">'2nd Innings'!$K$58:$K$103</definedName>
    <definedName name="FezRebels">'1st Innings'!$K$58:$K$103</definedName>
    <definedName name="GMIS" localSheetId="1">'2nd Innings'!$H$58:$H$81</definedName>
    <definedName name="GMIS">'1st Innings'!$H$58:$H$81</definedName>
    <definedName name="Indorama" localSheetId="1">'2nd Innings'!$E$58:$E$85</definedName>
    <definedName name="Indorama">'1st Innings'!$E$58:$E$85</definedName>
    <definedName name="Jaguars" localSheetId="1">'2nd Innings'!$P$58:$P$90</definedName>
    <definedName name="Jaguars">'1st Innings'!$P$58:$P$90</definedName>
    <definedName name="Mavecrics" localSheetId="1">'2nd Innings'!$N$58:$N$97</definedName>
    <definedName name="Mavecrics">'1st Innings'!$N$58:$N$97</definedName>
    <definedName name="Menara" localSheetId="1">'2nd Innings'!$F$58:$F$90</definedName>
    <definedName name="Menara">'1st Innings'!$F$58:$F$90</definedName>
    <definedName name="MetroIndians" localSheetId="1">'2nd Innings'!$M$58:$M$83</definedName>
    <definedName name="MetroIndians">'1st Innings'!$M$58:$M$83</definedName>
    <definedName name="SenayanCC" localSheetId="1">'2nd Innings'!$I$58:$I$93</definedName>
    <definedName name="SenayanCC">'1st Innings'!$I$58:$I$93</definedName>
    <definedName name="TKCC" localSheetId="1">'2nd Innings'!$O$58:$O$88</definedName>
    <definedName name="TKCC">'1st Innings'!$O$58:$O$88</definedName>
    <definedName name="WISCI" localSheetId="1">'2nd Innings'!$A$58:$A$93</definedName>
    <definedName name="WISCI">'1st Innings'!$A$58:$A$93</definedName>
    <definedName name="WPPIndia" localSheetId="1">'2nd Innings'!$G$58:$G$80</definedName>
    <definedName name="WPPIndia">'1st Innings'!$G$58:$G$80</definedName>
  </definedNames>
  <calcPr calcId="144525"/>
</workbook>
</file>

<file path=xl/calcChain.xml><?xml version="1.0" encoding="utf-8"?>
<calcChain xmlns="http://schemas.openxmlformats.org/spreadsheetml/2006/main">
  <c r="F85" i="8" l="1"/>
  <c r="B81" i="8" l="1"/>
  <c r="B82" i="8"/>
  <c r="B83" i="8"/>
  <c r="B73" i="8"/>
  <c r="B74" i="8"/>
  <c r="O81" i="8" l="1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L121" i="5"/>
  <c r="L142" i="5"/>
  <c r="L141" i="5"/>
  <c r="L140" i="5"/>
  <c r="L139" i="5"/>
  <c r="L138" i="5"/>
  <c r="L137" i="5"/>
  <c r="L136" i="5"/>
  <c r="L135" i="5"/>
  <c r="L134" i="5"/>
  <c r="L133" i="5"/>
  <c r="L131" i="5"/>
  <c r="L130" i="5"/>
  <c r="L129" i="5"/>
  <c r="L128" i="5"/>
  <c r="L127" i="5"/>
  <c r="L126" i="5"/>
  <c r="L125" i="5"/>
  <c r="L124" i="5"/>
  <c r="L123" i="5"/>
  <c r="L122" i="5"/>
  <c r="L132" i="5"/>
  <c r="AT133" i="5" l="1"/>
  <c r="AT134" i="5"/>
  <c r="AT135" i="5"/>
  <c r="AT136" i="5"/>
  <c r="AT137" i="5"/>
  <c r="AT138" i="5"/>
  <c r="AT139" i="5"/>
  <c r="AT140" i="5"/>
  <c r="AT141" i="5"/>
  <c r="AT142" i="5"/>
  <c r="AT132" i="5"/>
  <c r="AT122" i="5"/>
  <c r="AT123" i="5"/>
  <c r="AT124" i="5"/>
  <c r="AT125" i="5"/>
  <c r="AT126" i="5"/>
  <c r="AT127" i="5"/>
  <c r="AT128" i="5"/>
  <c r="AT129" i="5"/>
  <c r="AT130" i="5"/>
  <c r="AT131" i="5"/>
  <c r="AT121" i="5"/>
  <c r="A59" i="8" l="1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A60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A61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A62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A63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A64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A65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A66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A67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A68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P68" i="8"/>
  <c r="A69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8" i="8"/>
  <c r="P69" i="8"/>
  <c r="A70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69" i="8"/>
  <c r="P70" i="8"/>
  <c r="A71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0" i="8"/>
  <c r="P71" i="8"/>
  <c r="A72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1" i="8"/>
  <c r="P72" i="8"/>
  <c r="A73" i="8"/>
  <c r="C73" i="8"/>
  <c r="D73" i="8"/>
  <c r="E73" i="8"/>
  <c r="F73" i="8"/>
  <c r="G73" i="8"/>
  <c r="H73" i="8"/>
  <c r="I73" i="8"/>
  <c r="J73" i="8"/>
  <c r="K73" i="8"/>
  <c r="L73" i="8"/>
  <c r="M73" i="8"/>
  <c r="N73" i="8"/>
  <c r="O72" i="8"/>
  <c r="P73" i="8"/>
  <c r="A74" i="8"/>
  <c r="C74" i="8"/>
  <c r="D74" i="8"/>
  <c r="E74" i="8"/>
  <c r="F74" i="8"/>
  <c r="G74" i="8"/>
  <c r="H74" i="8"/>
  <c r="I74" i="8"/>
  <c r="J74" i="8"/>
  <c r="K74" i="8"/>
  <c r="L74" i="8"/>
  <c r="M74" i="8"/>
  <c r="N74" i="8"/>
  <c r="O73" i="8"/>
  <c r="P74" i="8"/>
  <c r="A75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4" i="8"/>
  <c r="P75" i="8"/>
  <c r="A76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5" i="8"/>
  <c r="P76" i="8"/>
  <c r="A77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6" i="8"/>
  <c r="P77" i="8"/>
  <c r="A78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7" i="8"/>
  <c r="P78" i="8"/>
  <c r="A79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8" i="8"/>
  <c r="P79" i="8"/>
  <c r="A80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79" i="8"/>
  <c r="P80" i="8"/>
  <c r="A81" i="8"/>
  <c r="C81" i="8"/>
  <c r="D81" i="8"/>
  <c r="E81" i="8"/>
  <c r="F81" i="8"/>
  <c r="G81" i="8"/>
  <c r="H81" i="8"/>
  <c r="I81" i="8"/>
  <c r="J81" i="8"/>
  <c r="K81" i="8"/>
  <c r="L81" i="8"/>
  <c r="M81" i="8"/>
  <c r="N81" i="8"/>
  <c r="O80" i="8"/>
  <c r="P81" i="8"/>
  <c r="A82" i="8"/>
  <c r="C82" i="8"/>
  <c r="D82" i="8"/>
  <c r="E82" i="8"/>
  <c r="F82" i="8"/>
  <c r="G82" i="8"/>
  <c r="H82" i="8"/>
  <c r="I82" i="8"/>
  <c r="J82" i="8"/>
  <c r="K82" i="8"/>
  <c r="L82" i="8"/>
  <c r="M82" i="8"/>
  <c r="N82" i="8"/>
  <c r="P82" i="8"/>
  <c r="A83" i="8"/>
  <c r="C83" i="8"/>
  <c r="D83" i="8"/>
  <c r="E83" i="8"/>
  <c r="F83" i="8"/>
  <c r="G83" i="8"/>
  <c r="H83" i="8"/>
  <c r="I83" i="8"/>
  <c r="J83" i="8"/>
  <c r="K83" i="8"/>
  <c r="L83" i="8"/>
  <c r="M83" i="8"/>
  <c r="N83" i="8"/>
  <c r="P83" i="8"/>
  <c r="A84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P84" i="8"/>
  <c r="A85" i="8"/>
  <c r="B85" i="8"/>
  <c r="C85" i="8"/>
  <c r="D85" i="8"/>
  <c r="E85" i="8"/>
  <c r="G85" i="8"/>
  <c r="H85" i="8"/>
  <c r="I85" i="8"/>
  <c r="J85" i="8"/>
  <c r="K85" i="8"/>
  <c r="L85" i="8"/>
  <c r="M85" i="8"/>
  <c r="N85" i="8"/>
  <c r="P85" i="8"/>
  <c r="A86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P86" i="8"/>
  <c r="A87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P87" i="8"/>
  <c r="A88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P88" i="8"/>
  <c r="A89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P89" i="8"/>
  <c r="A90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P90" i="8"/>
  <c r="A91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P91" i="8"/>
  <c r="A92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P92" i="8"/>
  <c r="A93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P93" i="8"/>
  <c r="A94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P94" i="8"/>
  <c r="A95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P95" i="8"/>
  <c r="A96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P96" i="8"/>
  <c r="A97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P97" i="8"/>
  <c r="A98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P98" i="8"/>
  <c r="A99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P99" i="8"/>
  <c r="A100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P100" i="8"/>
  <c r="A101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P101" i="8"/>
  <c r="A102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P102" i="8"/>
  <c r="A103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P103" i="8"/>
  <c r="A104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P104" i="8"/>
  <c r="A105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P105" i="8"/>
  <c r="A106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P106" i="8"/>
  <c r="A107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P107" i="8"/>
  <c r="A108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P108" i="8"/>
  <c r="A109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P109" i="8"/>
  <c r="A110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P110" i="8"/>
  <c r="A111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P111" i="8"/>
  <c r="A112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P112" i="8"/>
  <c r="A113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P113" i="8"/>
  <c r="A114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P114" i="8"/>
  <c r="A115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P115" i="8"/>
  <c r="A116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P116" i="8"/>
  <c r="A117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P117" i="8"/>
  <c r="A118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P118" i="8"/>
  <c r="A119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P119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A58" i="8"/>
  <c r="AR133" i="5"/>
  <c r="AR134" i="5"/>
  <c r="AR135" i="5"/>
  <c r="AR136" i="5"/>
  <c r="AR137" i="5"/>
  <c r="AR138" i="5"/>
  <c r="AR139" i="5"/>
  <c r="AR140" i="5"/>
  <c r="AR141" i="5"/>
  <c r="AR142" i="5"/>
  <c r="AR132" i="5"/>
  <c r="AR122" i="5"/>
  <c r="AR123" i="5"/>
  <c r="AR124" i="5"/>
  <c r="AR125" i="5"/>
  <c r="AR126" i="5"/>
  <c r="AR127" i="5"/>
  <c r="AR128" i="5"/>
  <c r="AR129" i="5"/>
  <c r="AR130" i="5"/>
  <c r="AR131" i="5"/>
  <c r="AR121" i="5"/>
  <c r="K141" i="5" l="1"/>
  <c r="K140" i="5"/>
  <c r="K139" i="5"/>
  <c r="K138" i="5"/>
  <c r="K137" i="5"/>
  <c r="K135" i="5"/>
  <c r="K134" i="5"/>
  <c r="K133" i="5"/>
  <c r="K132" i="5"/>
  <c r="Q17" i="8"/>
  <c r="Q16" i="8"/>
  <c r="Q15" i="8"/>
  <c r="Q14" i="8"/>
  <c r="Q13" i="8"/>
  <c r="Q12" i="8"/>
  <c r="Q11" i="8"/>
  <c r="Q10" i="8"/>
  <c r="Q9" i="8"/>
  <c r="Q8" i="8"/>
  <c r="Y131" i="5"/>
  <c r="X131" i="5"/>
  <c r="W131" i="5"/>
  <c r="V131" i="5"/>
  <c r="U131" i="5"/>
  <c r="AL131" i="5" s="1"/>
  <c r="AM131" i="5" s="1"/>
  <c r="T131" i="5"/>
  <c r="S131" i="5"/>
  <c r="R131" i="5"/>
  <c r="Y130" i="5"/>
  <c r="X130" i="5"/>
  <c r="W130" i="5"/>
  <c r="V130" i="5"/>
  <c r="U130" i="5"/>
  <c r="AL130" i="5" s="1"/>
  <c r="AM130" i="5" s="1"/>
  <c r="T130" i="5"/>
  <c r="S130" i="5"/>
  <c r="R130" i="5"/>
  <c r="Y129" i="5"/>
  <c r="X129" i="5"/>
  <c r="W129" i="5"/>
  <c r="V129" i="5"/>
  <c r="U129" i="5"/>
  <c r="AL129" i="5" s="1"/>
  <c r="AM129" i="5" s="1"/>
  <c r="T129" i="5"/>
  <c r="S129" i="5"/>
  <c r="R129" i="5"/>
  <c r="Y128" i="5"/>
  <c r="X128" i="5"/>
  <c r="W128" i="5"/>
  <c r="V128" i="5"/>
  <c r="U128" i="5"/>
  <c r="AL128" i="5" s="1"/>
  <c r="AM128" i="5" s="1"/>
  <c r="T128" i="5"/>
  <c r="S128" i="5"/>
  <c r="R128" i="5"/>
  <c r="Y127" i="5"/>
  <c r="X127" i="5"/>
  <c r="W127" i="5"/>
  <c r="V127" i="5"/>
  <c r="U127" i="5"/>
  <c r="AL127" i="5" s="1"/>
  <c r="AM127" i="5" s="1"/>
  <c r="T127" i="5"/>
  <c r="S127" i="5"/>
  <c r="R127" i="5"/>
  <c r="Y126" i="5"/>
  <c r="X126" i="5"/>
  <c r="W126" i="5"/>
  <c r="V126" i="5"/>
  <c r="U126" i="5"/>
  <c r="T126" i="5"/>
  <c r="S126" i="5"/>
  <c r="R126" i="5"/>
  <c r="Y125" i="5"/>
  <c r="X125" i="5"/>
  <c r="W125" i="5"/>
  <c r="V125" i="5"/>
  <c r="U125" i="5"/>
  <c r="AL125" i="5" s="1"/>
  <c r="AM125" i="5" s="1"/>
  <c r="T125" i="5"/>
  <c r="S125" i="5"/>
  <c r="R125" i="5"/>
  <c r="Y124" i="5"/>
  <c r="X124" i="5"/>
  <c r="W124" i="5"/>
  <c r="V124" i="5"/>
  <c r="U124" i="5"/>
  <c r="AL124" i="5" s="1"/>
  <c r="AM124" i="5" s="1"/>
  <c r="T124" i="5"/>
  <c r="S124" i="5"/>
  <c r="R124" i="5"/>
  <c r="Y123" i="5"/>
  <c r="X123" i="5"/>
  <c r="W123" i="5"/>
  <c r="V123" i="5"/>
  <c r="U123" i="5"/>
  <c r="T123" i="5"/>
  <c r="S123" i="5"/>
  <c r="R123" i="5"/>
  <c r="Y122" i="5"/>
  <c r="X122" i="5"/>
  <c r="W122" i="5"/>
  <c r="V122" i="5"/>
  <c r="U122" i="5"/>
  <c r="AC122" i="5" s="1"/>
  <c r="AB122" i="5" s="1"/>
  <c r="T122" i="5"/>
  <c r="S122" i="5"/>
  <c r="R122" i="5"/>
  <c r="Y121" i="5"/>
  <c r="X121" i="5"/>
  <c r="W121" i="5"/>
  <c r="V121" i="5"/>
  <c r="U121" i="5"/>
  <c r="T121" i="5"/>
  <c r="S121" i="5"/>
  <c r="R121" i="5"/>
  <c r="Y142" i="5"/>
  <c r="X142" i="5"/>
  <c r="W142" i="5"/>
  <c r="V142" i="5"/>
  <c r="U142" i="5"/>
  <c r="T142" i="5"/>
  <c r="S142" i="5"/>
  <c r="R142" i="5"/>
  <c r="Y141" i="5"/>
  <c r="X141" i="5"/>
  <c r="W141" i="5"/>
  <c r="V141" i="5"/>
  <c r="U141" i="5"/>
  <c r="T141" i="5"/>
  <c r="S141" i="5"/>
  <c r="R141" i="5"/>
  <c r="Y140" i="5"/>
  <c r="X140" i="5"/>
  <c r="W140" i="5"/>
  <c r="V140" i="5"/>
  <c r="U140" i="5"/>
  <c r="AL140" i="5" s="1"/>
  <c r="AM140" i="5" s="1"/>
  <c r="T140" i="5"/>
  <c r="S140" i="5"/>
  <c r="R140" i="5"/>
  <c r="Y139" i="5"/>
  <c r="X139" i="5"/>
  <c r="W139" i="5"/>
  <c r="V139" i="5"/>
  <c r="U139" i="5"/>
  <c r="AL139" i="5" s="1"/>
  <c r="AM139" i="5" s="1"/>
  <c r="T139" i="5"/>
  <c r="S139" i="5"/>
  <c r="R139" i="5"/>
  <c r="Y138" i="5"/>
  <c r="X138" i="5"/>
  <c r="W138" i="5"/>
  <c r="V138" i="5"/>
  <c r="U138" i="5"/>
  <c r="T138" i="5"/>
  <c r="S138" i="5"/>
  <c r="R138" i="5"/>
  <c r="Y137" i="5"/>
  <c r="X137" i="5"/>
  <c r="W137" i="5"/>
  <c r="V137" i="5"/>
  <c r="U137" i="5"/>
  <c r="AL137" i="5" s="1"/>
  <c r="AM137" i="5" s="1"/>
  <c r="T137" i="5"/>
  <c r="S137" i="5"/>
  <c r="R137" i="5"/>
  <c r="Y136" i="5"/>
  <c r="X136" i="5"/>
  <c r="W136" i="5"/>
  <c r="V136" i="5"/>
  <c r="U136" i="5"/>
  <c r="AL136" i="5" s="1"/>
  <c r="AM136" i="5" s="1"/>
  <c r="T136" i="5"/>
  <c r="S136" i="5"/>
  <c r="R136" i="5"/>
  <c r="Y135" i="5"/>
  <c r="X135" i="5"/>
  <c r="W135" i="5"/>
  <c r="V135" i="5"/>
  <c r="U135" i="5"/>
  <c r="AL135" i="5" s="1"/>
  <c r="AM135" i="5" s="1"/>
  <c r="T135" i="5"/>
  <c r="S135" i="5"/>
  <c r="R135" i="5"/>
  <c r="Y134" i="5"/>
  <c r="X134" i="5"/>
  <c r="W134" i="5"/>
  <c r="V134" i="5"/>
  <c r="U134" i="5"/>
  <c r="AL134" i="5" s="1"/>
  <c r="AM134" i="5" s="1"/>
  <c r="T134" i="5"/>
  <c r="S134" i="5"/>
  <c r="R134" i="5"/>
  <c r="Y133" i="5"/>
  <c r="X133" i="5"/>
  <c r="W133" i="5"/>
  <c r="V133" i="5"/>
  <c r="U133" i="5"/>
  <c r="AL133" i="5" s="1"/>
  <c r="AM133" i="5" s="1"/>
  <c r="T133" i="5"/>
  <c r="S133" i="5"/>
  <c r="R133" i="5"/>
  <c r="Y132" i="5"/>
  <c r="X132" i="5"/>
  <c r="W132" i="5"/>
  <c r="V132" i="5"/>
  <c r="U132" i="5"/>
  <c r="T132" i="5"/>
  <c r="S132" i="5"/>
  <c r="R132" i="5"/>
  <c r="N131" i="5"/>
  <c r="AU131" i="5" s="1"/>
  <c r="N130" i="5"/>
  <c r="AU130" i="5" s="1"/>
  <c r="N129" i="5"/>
  <c r="AU129" i="5" s="1"/>
  <c r="N128" i="5"/>
  <c r="AU128" i="5" s="1"/>
  <c r="N127" i="5"/>
  <c r="AU127" i="5" s="1"/>
  <c r="N126" i="5"/>
  <c r="AU126" i="5" s="1"/>
  <c r="N125" i="5"/>
  <c r="AU125" i="5" s="1"/>
  <c r="N124" i="5"/>
  <c r="AU124" i="5" s="1"/>
  <c r="N123" i="5"/>
  <c r="AU123" i="5" s="1"/>
  <c r="N122" i="5"/>
  <c r="AU122" i="5" s="1"/>
  <c r="M131" i="5"/>
  <c r="M130" i="5"/>
  <c r="M129" i="5"/>
  <c r="M128" i="5"/>
  <c r="M127" i="5"/>
  <c r="M126" i="5"/>
  <c r="M125" i="5"/>
  <c r="M124" i="5"/>
  <c r="M123" i="5"/>
  <c r="M122" i="5"/>
  <c r="N121" i="5"/>
  <c r="AU121" i="5" s="1"/>
  <c r="M121" i="5"/>
  <c r="N142" i="5"/>
  <c r="AU142" i="5" s="1"/>
  <c r="M142" i="5"/>
  <c r="N141" i="5"/>
  <c r="AU141" i="5" s="1"/>
  <c r="M141" i="5"/>
  <c r="N140" i="5"/>
  <c r="AU140" i="5" s="1"/>
  <c r="M140" i="5"/>
  <c r="M139" i="5"/>
  <c r="N139" i="5"/>
  <c r="AU139" i="5" s="1"/>
  <c r="N138" i="5"/>
  <c r="AU138" i="5" s="1"/>
  <c r="M138" i="5"/>
  <c r="N137" i="5"/>
  <c r="AU137" i="5" s="1"/>
  <c r="M137" i="5"/>
  <c r="N136" i="5"/>
  <c r="AU136" i="5" s="1"/>
  <c r="M136" i="5"/>
  <c r="N135" i="5"/>
  <c r="AU135" i="5" s="1"/>
  <c r="M135" i="5"/>
  <c r="N134" i="5"/>
  <c r="AU134" i="5" s="1"/>
  <c r="M134" i="5"/>
  <c r="N133" i="5"/>
  <c r="AU133" i="5" s="1"/>
  <c r="M133" i="5"/>
  <c r="N132" i="5"/>
  <c r="AU132" i="5" s="1"/>
  <c r="M132" i="5"/>
  <c r="E133" i="5"/>
  <c r="F133" i="5"/>
  <c r="AA133" i="5" s="1"/>
  <c r="Z133" i="5" s="1"/>
  <c r="G133" i="5"/>
  <c r="H133" i="5"/>
  <c r="I133" i="5"/>
  <c r="J133" i="5"/>
  <c r="E134" i="5"/>
  <c r="F134" i="5"/>
  <c r="AA134" i="5" s="1"/>
  <c r="Z134" i="5" s="1"/>
  <c r="G134" i="5"/>
  <c r="H134" i="5"/>
  <c r="I134" i="5"/>
  <c r="J134" i="5"/>
  <c r="E135" i="5"/>
  <c r="F135" i="5"/>
  <c r="AA135" i="5" s="1"/>
  <c r="Z135" i="5" s="1"/>
  <c r="G135" i="5"/>
  <c r="H135" i="5"/>
  <c r="I135" i="5"/>
  <c r="J135" i="5"/>
  <c r="E136" i="5"/>
  <c r="F136" i="5"/>
  <c r="AA136" i="5" s="1"/>
  <c r="G136" i="5"/>
  <c r="H136" i="5"/>
  <c r="I136" i="5"/>
  <c r="J136" i="5"/>
  <c r="E137" i="5"/>
  <c r="F137" i="5"/>
  <c r="AA137" i="5" s="1"/>
  <c r="Z137" i="5" s="1"/>
  <c r="G137" i="5"/>
  <c r="H137" i="5"/>
  <c r="I137" i="5"/>
  <c r="J137" i="5"/>
  <c r="E138" i="5"/>
  <c r="F138" i="5"/>
  <c r="AA138" i="5" s="1"/>
  <c r="Z138" i="5" s="1"/>
  <c r="G138" i="5"/>
  <c r="H138" i="5"/>
  <c r="I138" i="5"/>
  <c r="J138" i="5"/>
  <c r="E139" i="5"/>
  <c r="F139" i="5"/>
  <c r="AA139" i="5" s="1"/>
  <c r="Z139" i="5" s="1"/>
  <c r="G139" i="5"/>
  <c r="H139" i="5"/>
  <c r="I139" i="5"/>
  <c r="J139" i="5"/>
  <c r="E140" i="5"/>
  <c r="F140" i="5"/>
  <c r="AA140" i="5" s="1"/>
  <c r="Z140" i="5" s="1"/>
  <c r="G140" i="5"/>
  <c r="H140" i="5"/>
  <c r="I140" i="5"/>
  <c r="J140" i="5"/>
  <c r="E141" i="5"/>
  <c r="F141" i="5"/>
  <c r="AA141" i="5" s="1"/>
  <c r="Z141" i="5" s="1"/>
  <c r="G141" i="5"/>
  <c r="H141" i="5"/>
  <c r="I141" i="5"/>
  <c r="J141" i="5"/>
  <c r="E142" i="5"/>
  <c r="F142" i="5"/>
  <c r="G142" i="5"/>
  <c r="H142" i="5"/>
  <c r="I142" i="5"/>
  <c r="J142" i="5"/>
  <c r="K130" i="5"/>
  <c r="K128" i="5"/>
  <c r="J132" i="5"/>
  <c r="I132" i="5"/>
  <c r="H132" i="5"/>
  <c r="G132" i="5"/>
  <c r="F132" i="5"/>
  <c r="AA132" i="5" s="1"/>
  <c r="E132" i="5"/>
  <c r="D133" i="5"/>
  <c r="D134" i="5"/>
  <c r="D135" i="5"/>
  <c r="D136" i="5"/>
  <c r="D137" i="5"/>
  <c r="D138" i="5"/>
  <c r="D139" i="5"/>
  <c r="D140" i="5"/>
  <c r="D141" i="5"/>
  <c r="D142" i="5"/>
  <c r="D132" i="5"/>
  <c r="A133" i="5"/>
  <c r="AS133" i="5" s="1"/>
  <c r="B133" i="5"/>
  <c r="A134" i="5"/>
  <c r="AS134" i="5" s="1"/>
  <c r="B134" i="5"/>
  <c r="A135" i="5"/>
  <c r="AS135" i="5" s="1"/>
  <c r="B135" i="5"/>
  <c r="A136" i="5"/>
  <c r="AS136" i="5" s="1"/>
  <c r="B136" i="5"/>
  <c r="A137" i="5"/>
  <c r="AS137" i="5" s="1"/>
  <c r="B137" i="5"/>
  <c r="A138" i="5"/>
  <c r="AS138" i="5" s="1"/>
  <c r="B138" i="5"/>
  <c r="A139" i="5"/>
  <c r="AS139" i="5" s="1"/>
  <c r="B139" i="5"/>
  <c r="A140" i="5"/>
  <c r="AS140" i="5" s="1"/>
  <c r="B140" i="5"/>
  <c r="A141" i="5"/>
  <c r="AS141" i="5" s="1"/>
  <c r="B141" i="5"/>
  <c r="A142" i="5"/>
  <c r="AS142" i="5" s="1"/>
  <c r="B142" i="5"/>
  <c r="A132" i="5"/>
  <c r="AS132" i="5" s="1"/>
  <c r="B132" i="5"/>
  <c r="Q10" i="5"/>
  <c r="K124" i="5" s="1"/>
  <c r="Q11" i="5"/>
  <c r="K125" i="5" s="1"/>
  <c r="Q12" i="5"/>
  <c r="Q13" i="5"/>
  <c r="K127" i="5" s="1"/>
  <c r="Q14" i="5"/>
  <c r="Q15" i="5"/>
  <c r="K129" i="5" s="1"/>
  <c r="Q16" i="5"/>
  <c r="Q17" i="5"/>
  <c r="K131" i="5" s="1"/>
  <c r="Q9" i="5"/>
  <c r="K123" i="5" s="1"/>
  <c r="Q8" i="5"/>
  <c r="K121" i="5" s="1"/>
  <c r="A122" i="5"/>
  <c r="AS122" i="5" s="1"/>
  <c r="B122" i="5"/>
  <c r="D122" i="5"/>
  <c r="E122" i="5"/>
  <c r="F122" i="5"/>
  <c r="G122" i="5"/>
  <c r="H122" i="5"/>
  <c r="I122" i="5"/>
  <c r="J122" i="5"/>
  <c r="A123" i="5"/>
  <c r="AS123" i="5" s="1"/>
  <c r="B123" i="5"/>
  <c r="D123" i="5"/>
  <c r="E123" i="5"/>
  <c r="F123" i="5"/>
  <c r="G123" i="5"/>
  <c r="H123" i="5"/>
  <c r="I123" i="5"/>
  <c r="J123" i="5"/>
  <c r="A124" i="5"/>
  <c r="AS124" i="5" s="1"/>
  <c r="B124" i="5"/>
  <c r="D124" i="5"/>
  <c r="E124" i="5"/>
  <c r="F124" i="5"/>
  <c r="AA124" i="5" s="1"/>
  <c r="Z124" i="5" s="1"/>
  <c r="G124" i="5"/>
  <c r="H124" i="5"/>
  <c r="I124" i="5"/>
  <c r="J124" i="5"/>
  <c r="A125" i="5"/>
  <c r="AS125" i="5" s="1"/>
  <c r="B125" i="5"/>
  <c r="D125" i="5"/>
  <c r="E125" i="5"/>
  <c r="F125" i="5"/>
  <c r="AA125" i="5" s="1"/>
  <c r="Z125" i="5" s="1"/>
  <c r="G125" i="5"/>
  <c r="H125" i="5"/>
  <c r="I125" i="5"/>
  <c r="J125" i="5"/>
  <c r="A126" i="5"/>
  <c r="AS126" i="5" s="1"/>
  <c r="B126" i="5"/>
  <c r="D126" i="5"/>
  <c r="E126" i="5"/>
  <c r="F126" i="5"/>
  <c r="G126" i="5"/>
  <c r="H126" i="5"/>
  <c r="I126" i="5"/>
  <c r="J126" i="5"/>
  <c r="A127" i="5"/>
  <c r="AS127" i="5" s="1"/>
  <c r="B127" i="5"/>
  <c r="D127" i="5"/>
  <c r="E127" i="5"/>
  <c r="F127" i="5"/>
  <c r="G127" i="5"/>
  <c r="H127" i="5"/>
  <c r="I127" i="5"/>
  <c r="J127" i="5"/>
  <c r="A128" i="5"/>
  <c r="AS128" i="5" s="1"/>
  <c r="B128" i="5"/>
  <c r="D128" i="5"/>
  <c r="E128" i="5"/>
  <c r="F128" i="5"/>
  <c r="G128" i="5"/>
  <c r="H128" i="5"/>
  <c r="I128" i="5"/>
  <c r="J128" i="5"/>
  <c r="A129" i="5"/>
  <c r="AS129" i="5" s="1"/>
  <c r="B129" i="5"/>
  <c r="D129" i="5"/>
  <c r="E129" i="5"/>
  <c r="F129" i="5"/>
  <c r="G129" i="5"/>
  <c r="H129" i="5"/>
  <c r="I129" i="5"/>
  <c r="J129" i="5"/>
  <c r="A130" i="5"/>
  <c r="AS130" i="5" s="1"/>
  <c r="B130" i="5"/>
  <c r="D130" i="5"/>
  <c r="E130" i="5"/>
  <c r="F130" i="5"/>
  <c r="G130" i="5"/>
  <c r="H130" i="5"/>
  <c r="I130" i="5"/>
  <c r="J130" i="5"/>
  <c r="A131" i="5"/>
  <c r="AS131" i="5" s="1"/>
  <c r="B131" i="5"/>
  <c r="D131" i="5"/>
  <c r="E131" i="5"/>
  <c r="F131" i="5"/>
  <c r="AJ131" i="5" s="1"/>
  <c r="G131" i="5"/>
  <c r="H131" i="5"/>
  <c r="I131" i="5"/>
  <c r="J131" i="5"/>
  <c r="J121" i="5"/>
  <c r="I121" i="5"/>
  <c r="H121" i="5"/>
  <c r="G121" i="5"/>
  <c r="F121" i="5"/>
  <c r="E121" i="5"/>
  <c r="D121" i="5"/>
  <c r="B121" i="5"/>
  <c r="A121" i="5"/>
  <c r="AS121" i="5" s="1"/>
  <c r="H16" i="5"/>
  <c r="H15" i="5"/>
  <c r="H13" i="5"/>
  <c r="F19" i="5"/>
  <c r="F20" i="5" s="1"/>
  <c r="J37" i="8"/>
  <c r="I37" i="8"/>
  <c r="H37" i="8"/>
  <c r="G37" i="8"/>
  <c r="F37" i="8"/>
  <c r="E37" i="8"/>
  <c r="L36" i="8"/>
  <c r="K36" i="8"/>
  <c r="L35" i="8"/>
  <c r="K35" i="8"/>
  <c r="L34" i="8"/>
  <c r="K34" i="8"/>
  <c r="L33" i="8"/>
  <c r="K33" i="8"/>
  <c r="L32" i="8"/>
  <c r="K32" i="8"/>
  <c r="L31" i="8"/>
  <c r="K31" i="8"/>
  <c r="L30" i="8"/>
  <c r="K30" i="8"/>
  <c r="L29" i="8"/>
  <c r="K29" i="8"/>
  <c r="L28" i="8"/>
  <c r="K28" i="8"/>
  <c r="L27" i="8"/>
  <c r="K27" i="8"/>
  <c r="L26" i="8"/>
  <c r="K26" i="8"/>
  <c r="F19" i="8"/>
  <c r="F20" i="8" s="1"/>
  <c r="N18" i="8" s="1"/>
  <c r="Q18" i="8" s="1"/>
  <c r="K142" i="5" s="1"/>
  <c r="H20" i="8"/>
  <c r="H18" i="8"/>
  <c r="H17" i="8"/>
  <c r="H16" i="8"/>
  <c r="H15" i="8"/>
  <c r="H14" i="8"/>
  <c r="H13" i="8"/>
  <c r="H12" i="8"/>
  <c r="H11" i="8"/>
  <c r="H10" i="8"/>
  <c r="H9" i="8"/>
  <c r="H8" i="8"/>
  <c r="H20" i="5"/>
  <c r="J37" i="5"/>
  <c r="I37" i="5"/>
  <c r="H37" i="5"/>
  <c r="G37" i="5"/>
  <c r="F37" i="5"/>
  <c r="E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H18" i="5"/>
  <c r="H17" i="5"/>
  <c r="H14" i="5"/>
  <c r="H12" i="5"/>
  <c r="H11" i="5"/>
  <c r="H10" i="5"/>
  <c r="H9" i="5"/>
  <c r="H8" i="5"/>
  <c r="AA142" i="5" l="1"/>
  <c r="Z142" i="5" s="1"/>
  <c r="AJ129" i="5"/>
  <c r="AJ130" i="5"/>
  <c r="AA127" i="5"/>
  <c r="Z127" i="5" s="1"/>
  <c r="AJ127" i="5"/>
  <c r="P26" i="5"/>
  <c r="AJ128" i="5"/>
  <c r="AC132" i="5"/>
  <c r="AB132" i="5" s="1"/>
  <c r="AL132" i="5"/>
  <c r="AM132" i="5" s="1"/>
  <c r="AC138" i="5"/>
  <c r="AB138" i="5" s="1"/>
  <c r="AL138" i="5"/>
  <c r="AM138" i="5" s="1"/>
  <c r="AC141" i="5"/>
  <c r="AB141" i="5" s="1"/>
  <c r="AL141" i="5"/>
  <c r="AM141" i="5" s="1"/>
  <c r="AN132" i="5"/>
  <c r="AN133" i="5"/>
  <c r="AN134" i="5"/>
  <c r="AN135" i="5"/>
  <c r="AN136" i="5"/>
  <c r="AN137" i="5"/>
  <c r="AN138" i="5"/>
  <c r="AN139" i="5"/>
  <c r="AN140" i="5"/>
  <c r="AN141" i="5"/>
  <c r="AN142" i="5"/>
  <c r="AC142" i="5"/>
  <c r="AB142" i="5" s="1"/>
  <c r="AL142" i="5"/>
  <c r="AM142" i="5" s="1"/>
  <c r="AC121" i="5"/>
  <c r="AB121" i="5" s="1"/>
  <c r="AL121" i="5"/>
  <c r="AM121" i="5" s="1"/>
  <c r="AC123" i="5"/>
  <c r="AB123" i="5" s="1"/>
  <c r="AL123" i="5"/>
  <c r="AM123" i="5" s="1"/>
  <c r="AC126" i="5"/>
  <c r="AB126" i="5" s="1"/>
  <c r="AL126" i="5"/>
  <c r="AM126" i="5" s="1"/>
  <c r="AN121" i="5"/>
  <c r="AN123" i="5"/>
  <c r="AN124" i="5"/>
  <c r="AN125" i="5"/>
  <c r="AN126" i="5"/>
  <c r="AN127" i="5"/>
  <c r="AN128" i="5"/>
  <c r="AN129" i="5"/>
  <c r="AN130" i="5"/>
  <c r="AN131" i="5"/>
  <c r="AC139" i="5"/>
  <c r="AB139" i="5" s="1"/>
  <c r="AC140" i="5"/>
  <c r="AB140" i="5" s="1"/>
  <c r="AC128" i="5"/>
  <c r="AB128" i="5" s="1"/>
  <c r="AC129" i="5"/>
  <c r="AC130" i="5"/>
  <c r="AB130" i="5" s="1"/>
  <c r="AC131" i="5"/>
  <c r="AB131" i="5" s="1"/>
  <c r="AC134" i="5"/>
  <c r="AB134" i="5" s="1"/>
  <c r="AC136" i="5"/>
  <c r="AB136" i="5" s="1"/>
  <c r="AC137" i="5"/>
  <c r="AB137" i="5" s="1"/>
  <c r="AC124" i="5"/>
  <c r="AB124" i="5" s="1"/>
  <c r="AC125" i="5"/>
  <c r="AB125" i="5" s="1"/>
  <c r="N18" i="5"/>
  <c r="Q18" i="5" s="1"/>
  <c r="K122" i="5" s="1"/>
  <c r="O125" i="5"/>
  <c r="O133" i="5"/>
  <c r="O137" i="5"/>
  <c r="O141" i="5"/>
  <c r="O129" i="5"/>
  <c r="O124" i="5"/>
  <c r="O128" i="5"/>
  <c r="O138" i="5"/>
  <c r="O121" i="5"/>
  <c r="O123" i="5"/>
  <c r="O127" i="5"/>
  <c r="O131" i="5"/>
  <c r="O134" i="5"/>
  <c r="O139" i="5"/>
  <c r="O142" i="5"/>
  <c r="O135" i="5"/>
  <c r="O132" i="5"/>
  <c r="O136" i="5"/>
  <c r="O140" i="5"/>
  <c r="O122" i="5"/>
  <c r="O126" i="5"/>
  <c r="O130" i="5"/>
  <c r="AN122" i="5"/>
  <c r="AJ121" i="5"/>
  <c r="AA131" i="5"/>
  <c r="Z131" i="5" s="1"/>
  <c r="AA128" i="5"/>
  <c r="Z128" i="5" s="1"/>
  <c r="AA123" i="5"/>
  <c r="Z123" i="5" s="1"/>
  <c r="AJ140" i="5"/>
  <c r="AJ136" i="5"/>
  <c r="AJ132" i="5"/>
  <c r="AJ123" i="5"/>
  <c r="AA129" i="5"/>
  <c r="Z129" i="5" s="1"/>
  <c r="AA126" i="5"/>
  <c r="Z126" i="5" s="1"/>
  <c r="AJ141" i="5"/>
  <c r="AJ137" i="5"/>
  <c r="AJ133" i="5"/>
  <c r="AJ124" i="5"/>
  <c r="AA121" i="5"/>
  <c r="Z121" i="5" s="1"/>
  <c r="P29" i="5"/>
  <c r="AJ142" i="5"/>
  <c r="AJ138" i="5"/>
  <c r="AJ134" i="5"/>
  <c r="AJ125" i="5"/>
  <c r="AL122" i="5"/>
  <c r="AM122" i="5" s="1"/>
  <c r="AA130" i="5"/>
  <c r="Z130" i="5" s="1"/>
  <c r="AA122" i="5"/>
  <c r="Z122" i="5" s="1"/>
  <c r="AJ139" i="5"/>
  <c r="AJ135" i="5"/>
  <c r="AJ126" i="5"/>
  <c r="AJ122" i="5"/>
  <c r="K136" i="5"/>
  <c r="Z132" i="5"/>
  <c r="Z136" i="5"/>
  <c r="P23" i="8"/>
  <c r="AC127" i="5"/>
  <c r="AB127" i="5" s="1"/>
  <c r="AB129" i="5"/>
  <c r="P23" i="5"/>
  <c r="AC135" i="5"/>
  <c r="AB135" i="5" s="1"/>
  <c r="AC133" i="5"/>
  <c r="AB133" i="5" s="1"/>
  <c r="AK138" i="5" l="1"/>
  <c r="AK139" i="5"/>
  <c r="AD139" i="5" s="1"/>
  <c r="AK128" i="5"/>
  <c r="AD128" i="5" s="1"/>
  <c r="AK131" i="5"/>
  <c r="AK127" i="5"/>
  <c r="AD127" i="5" s="1"/>
  <c r="AK130" i="5"/>
  <c r="AK129" i="5"/>
  <c r="AD129" i="5" s="1"/>
  <c r="AK141" i="5"/>
  <c r="AD141" i="5" s="1"/>
  <c r="AK134" i="5"/>
  <c r="AD134" i="5" s="1"/>
  <c r="AK137" i="5"/>
  <c r="AD137" i="5" s="1"/>
  <c r="AK140" i="5"/>
  <c r="AD140" i="5" s="1"/>
  <c r="K126" i="5"/>
  <c r="AK123" i="5"/>
  <c r="AD123" i="5" s="1"/>
  <c r="P32" i="5"/>
  <c r="AK124" i="5"/>
  <c r="AD124" i="5" s="1"/>
  <c r="AK126" i="5"/>
  <c r="AD126" i="5" s="1"/>
  <c r="AK125" i="5"/>
  <c r="AD125" i="5" s="1"/>
  <c r="AK122" i="5"/>
  <c r="AD122" i="5" s="1"/>
  <c r="AK142" i="5"/>
  <c r="AD142" i="5" s="1"/>
  <c r="AK133" i="5"/>
  <c r="AD133" i="5" s="1"/>
  <c r="AK136" i="5"/>
  <c r="AD136" i="5" s="1"/>
  <c r="AK121" i="5"/>
  <c r="AD121" i="5" s="1"/>
  <c r="AK135" i="5"/>
  <c r="AD135" i="5" s="1"/>
  <c r="AN143" i="5"/>
  <c r="AK132" i="5"/>
  <c r="AD132" i="5" s="1"/>
  <c r="Q129" i="5"/>
  <c r="Q124" i="5"/>
  <c r="Q140" i="5"/>
  <c r="Q142" i="5"/>
  <c r="Q127" i="5"/>
  <c r="Q128" i="5"/>
  <c r="Q137" i="5"/>
  <c r="Q126" i="5"/>
  <c r="Q132" i="5"/>
  <c r="Q134" i="5"/>
  <c r="Q121" i="5"/>
  <c r="Q125" i="5"/>
  <c r="Q130" i="5"/>
  <c r="Q136" i="5"/>
  <c r="Q139" i="5"/>
  <c r="Q123" i="5"/>
  <c r="Q133" i="5"/>
  <c r="Q122" i="5"/>
  <c r="Q135" i="5"/>
  <c r="Q131" i="5"/>
  <c r="Q138" i="5"/>
  <c r="Q141" i="5"/>
  <c r="AD131" i="5"/>
  <c r="AD138" i="5"/>
  <c r="AD130" i="5"/>
  <c r="P131" i="5" l="1"/>
  <c r="AH131" i="5" s="1"/>
  <c r="P126" i="5"/>
  <c r="AH126" i="5" s="1"/>
  <c r="P132" i="5"/>
  <c r="AH132" i="5" s="1"/>
  <c r="P141" i="5"/>
  <c r="AH141" i="5" s="1"/>
  <c r="P122" i="5"/>
  <c r="AH122" i="5" s="1"/>
  <c r="P136" i="5"/>
  <c r="AH136" i="5" s="1"/>
  <c r="P134" i="5"/>
  <c r="AH134" i="5" s="1"/>
  <c r="P128" i="5"/>
  <c r="AH128" i="5" s="1"/>
  <c r="P135" i="5"/>
  <c r="AH135" i="5" s="1"/>
  <c r="P139" i="5"/>
  <c r="AH139" i="5" s="1"/>
  <c r="P121" i="5"/>
  <c r="AH121" i="5" s="1"/>
  <c r="P137" i="5"/>
  <c r="AH137" i="5" s="1"/>
  <c r="P140" i="5"/>
  <c r="AH140" i="5" s="1"/>
  <c r="P125" i="5"/>
  <c r="AH125" i="5" s="1"/>
  <c r="P138" i="5"/>
  <c r="AH138" i="5" s="1"/>
  <c r="P130" i="5"/>
  <c r="AH130" i="5" s="1"/>
  <c r="P127" i="5"/>
  <c r="AH127" i="5" s="1"/>
  <c r="P129" i="5"/>
  <c r="AH129" i="5" s="1"/>
  <c r="P123" i="5"/>
  <c r="AH123" i="5" s="1"/>
  <c r="P142" i="5"/>
  <c r="AH142" i="5" s="1"/>
  <c r="P133" i="5"/>
  <c r="AH133" i="5" s="1"/>
  <c r="P124" i="5"/>
  <c r="AH124" i="5" s="1"/>
  <c r="AO124" i="5"/>
  <c r="AO129" i="5"/>
  <c r="AO134" i="5"/>
  <c r="AO125" i="5"/>
  <c r="AO142" i="5"/>
  <c r="AO133" i="5"/>
  <c r="AO138" i="5"/>
  <c r="AO123" i="5"/>
  <c r="AO130" i="5"/>
  <c r="AO121" i="5"/>
  <c r="AO126" i="5"/>
  <c r="AO132" i="5"/>
  <c r="AO127" i="5"/>
  <c r="AO128" i="5"/>
  <c r="AO135" i="5"/>
  <c r="AO139" i="5"/>
  <c r="AO131" i="5"/>
  <c r="AO140" i="5"/>
  <c r="AO137" i="5"/>
  <c r="AO141" i="5"/>
  <c r="AO136" i="5"/>
  <c r="AO122" i="5"/>
  <c r="AD143" i="5"/>
  <c r="AH143" i="5" l="1"/>
  <c r="AO143" i="5"/>
  <c r="AP138" i="5" s="1"/>
  <c r="AQ138" i="5" s="1"/>
  <c r="AE141" i="5"/>
  <c r="AF141" i="5" s="1"/>
  <c r="AE133" i="5"/>
  <c r="AF133" i="5" s="1"/>
  <c r="AE131" i="5"/>
  <c r="AF131" i="5" s="1"/>
  <c r="AE126" i="5"/>
  <c r="AF126" i="5" s="1"/>
  <c r="AE134" i="5"/>
  <c r="AF134" i="5" s="1"/>
  <c r="AE128" i="5"/>
  <c r="AF128" i="5" s="1"/>
  <c r="AE124" i="5"/>
  <c r="AF124" i="5" s="1"/>
  <c r="AE135" i="5"/>
  <c r="AF135" i="5" s="1"/>
  <c r="AE123" i="5"/>
  <c r="AF123" i="5" s="1"/>
  <c r="AE121" i="5"/>
  <c r="AF121" i="5" s="1"/>
  <c r="AE137" i="5"/>
  <c r="AF137" i="5" s="1"/>
  <c r="AE129" i="5"/>
  <c r="AF129" i="5" s="1"/>
  <c r="AE140" i="5"/>
  <c r="AF140" i="5" s="1"/>
  <c r="AE130" i="5"/>
  <c r="AF130" i="5" s="1"/>
  <c r="AE138" i="5"/>
  <c r="AF138" i="5" s="1"/>
  <c r="AE132" i="5"/>
  <c r="AF132" i="5" s="1"/>
  <c r="AE136" i="5"/>
  <c r="AF136" i="5" s="1"/>
  <c r="AE139" i="5"/>
  <c r="AF139" i="5" s="1"/>
  <c r="AE142" i="5"/>
  <c r="AF142" i="5" s="1"/>
  <c r="AE127" i="5"/>
  <c r="AF127" i="5" s="1"/>
  <c r="AE122" i="5"/>
  <c r="AF122" i="5" s="1"/>
  <c r="AE125" i="5"/>
  <c r="AF125" i="5" s="1"/>
  <c r="AI131" i="5" l="1"/>
  <c r="AP129" i="5"/>
  <c r="AQ129" i="5" s="1"/>
  <c r="AG129" i="5" s="1"/>
  <c r="AI129" i="5" s="1"/>
  <c r="AP140" i="5"/>
  <c r="AQ140" i="5" s="1"/>
  <c r="AG140" i="5" s="1"/>
  <c r="AI140" i="5" s="1"/>
  <c r="AP123" i="5"/>
  <c r="AQ123" i="5" s="1"/>
  <c r="AG123" i="5" s="1"/>
  <c r="AI123" i="5" s="1"/>
  <c r="AP127" i="5"/>
  <c r="AQ127" i="5" s="1"/>
  <c r="AG127" i="5" s="1"/>
  <c r="AI127" i="5" s="1"/>
  <c r="AP131" i="5"/>
  <c r="AQ131" i="5" s="1"/>
  <c r="AG131" i="5" s="1"/>
  <c r="AP139" i="5"/>
  <c r="AQ139" i="5" s="1"/>
  <c r="AG139" i="5" s="1"/>
  <c r="AI139" i="5" s="1"/>
  <c r="AP121" i="5"/>
  <c r="AQ121" i="5" s="1"/>
  <c r="AP130" i="5"/>
  <c r="AQ130" i="5" s="1"/>
  <c r="AG130" i="5" s="1"/>
  <c r="AI130" i="5" s="1"/>
  <c r="AP134" i="5"/>
  <c r="AQ134" i="5" s="1"/>
  <c r="AG134" i="5" s="1"/>
  <c r="AI134" i="5" s="1"/>
  <c r="AP137" i="5"/>
  <c r="AQ137" i="5" s="1"/>
  <c r="AG137" i="5" s="1"/>
  <c r="AI137" i="5" s="1"/>
  <c r="AP124" i="5"/>
  <c r="AP132" i="5"/>
  <c r="AP136" i="5"/>
  <c r="AQ136" i="5" s="1"/>
  <c r="AG136" i="5" s="1"/>
  <c r="AI136" i="5" s="1"/>
  <c r="AP128" i="5"/>
  <c r="AP126" i="5"/>
  <c r="AP142" i="5"/>
  <c r="AP133" i="5"/>
  <c r="AP125" i="5"/>
  <c r="AQ125" i="5" s="1"/>
  <c r="AG125" i="5" s="1"/>
  <c r="AI125" i="5" s="1"/>
  <c r="AP141" i="5"/>
  <c r="AP135" i="5"/>
  <c r="AP122" i="5"/>
  <c r="AQ122" i="5" s="1"/>
  <c r="AG122" i="5" s="1"/>
  <c r="AI122" i="5" s="1"/>
  <c r="AF143" i="5"/>
  <c r="AG138" i="5"/>
  <c r="AI138" i="5" s="1"/>
  <c r="AE143" i="5"/>
  <c r="AQ135" i="5" l="1"/>
  <c r="AG135" i="5" s="1"/>
  <c r="AI135" i="5" s="1"/>
  <c r="AQ132" i="5"/>
  <c r="AG132" i="5" s="1"/>
  <c r="AI132" i="5" s="1"/>
  <c r="AQ133" i="5"/>
  <c r="AG133" i="5" s="1"/>
  <c r="AI133" i="5" s="1"/>
  <c r="AQ128" i="5"/>
  <c r="AG128" i="5" s="1"/>
  <c r="AI128" i="5" s="1"/>
  <c r="AQ142" i="5"/>
  <c r="AG142" i="5" s="1"/>
  <c r="AI142" i="5" s="1"/>
  <c r="AQ141" i="5"/>
  <c r="AG141" i="5" s="1"/>
  <c r="AI141" i="5" s="1"/>
  <c r="AQ126" i="5"/>
  <c r="AG126" i="5" s="1"/>
  <c r="AI126" i="5" s="1"/>
  <c r="AQ124" i="5"/>
  <c r="AG124" i="5" s="1"/>
  <c r="AI124" i="5" s="1"/>
  <c r="AG121" i="5"/>
  <c r="AI121" i="5" s="1"/>
  <c r="AP143" i="5"/>
  <c r="AQ143" i="5" l="1"/>
  <c r="AI143" i="5"/>
  <c r="AG143" i="5"/>
</calcChain>
</file>

<file path=xl/sharedStrings.xml><?xml version="1.0" encoding="utf-8"?>
<sst xmlns="http://schemas.openxmlformats.org/spreadsheetml/2006/main" count="862" uniqueCount="683">
  <si>
    <t>Date</t>
  </si>
  <si>
    <t>Decision</t>
  </si>
  <si>
    <t>Toss won by</t>
  </si>
  <si>
    <t>Team 1</t>
  </si>
  <si>
    <t>Team 2</t>
  </si>
  <si>
    <t>1st Innings Team</t>
  </si>
  <si>
    <t>Batsman</t>
  </si>
  <si>
    <t>Name</t>
  </si>
  <si>
    <t>How Out</t>
  </si>
  <si>
    <t>Bowler</t>
  </si>
  <si>
    <t>Runs</t>
  </si>
  <si>
    <t>4s</t>
  </si>
  <si>
    <t>Balls Faced</t>
  </si>
  <si>
    <t>6s</t>
  </si>
  <si>
    <t>Wides (cross with dots in quarters for each extra run)</t>
  </si>
  <si>
    <t xml:space="preserve">No Balls (circle around that ball score record) </t>
  </si>
  <si>
    <t>Byes (B with small number to the right indicating how many byes)</t>
  </si>
  <si>
    <t>Leg byes (L with small number to the right indicating how many leg byes)</t>
  </si>
  <si>
    <t>FOW</t>
  </si>
  <si>
    <t>Score</t>
  </si>
  <si>
    <t>Wicket</t>
  </si>
  <si>
    <t>Not Out</t>
  </si>
  <si>
    <t>O</t>
  </si>
  <si>
    <t>M</t>
  </si>
  <si>
    <t>R</t>
  </si>
  <si>
    <t>W</t>
  </si>
  <si>
    <t>w</t>
  </si>
  <si>
    <t>nb</t>
  </si>
  <si>
    <t>SR</t>
  </si>
  <si>
    <t>Ave</t>
  </si>
  <si>
    <t>RPO</t>
  </si>
  <si>
    <t>Umpires</t>
  </si>
  <si>
    <t>Scorers</t>
  </si>
  <si>
    <t>Fielding Captain</t>
  </si>
  <si>
    <t>2nd Innings Team</t>
  </si>
  <si>
    <t>Result</t>
  </si>
  <si>
    <t>MoM</t>
  </si>
  <si>
    <t>Teams</t>
  </si>
  <si>
    <t>WISCI</t>
  </si>
  <si>
    <t>Ceylon</t>
  </si>
  <si>
    <t>Emerio</t>
  </si>
  <si>
    <t>Barbarians</t>
  </si>
  <si>
    <t>Indorama</t>
  </si>
  <si>
    <t>Menara</t>
  </si>
  <si>
    <t>GMIS</t>
  </si>
  <si>
    <t>Challengers</t>
  </si>
  <si>
    <t>Mavecrics</t>
  </si>
  <si>
    <t>TKCC</t>
  </si>
  <si>
    <t>Jaguars</t>
  </si>
  <si>
    <t>Totals</t>
  </si>
  <si>
    <t>Batting/Bowling check</t>
  </si>
  <si>
    <t>Bowl</t>
  </si>
  <si>
    <t>Bowled</t>
  </si>
  <si>
    <t>LBW</t>
  </si>
  <si>
    <t xml:space="preserve">Bat </t>
  </si>
  <si>
    <t>Game Type</t>
  </si>
  <si>
    <t>35 overs</t>
  </si>
  <si>
    <t>T20</t>
  </si>
  <si>
    <t>Friendly</t>
  </si>
  <si>
    <t>Ground</t>
  </si>
  <si>
    <t>Cibubur</t>
  </si>
  <si>
    <t>Purnakata</t>
  </si>
  <si>
    <t>Pancawati</t>
  </si>
  <si>
    <t>Karawaci</t>
  </si>
  <si>
    <t>Other</t>
  </si>
  <si>
    <t xml:space="preserve">Remarks: </t>
  </si>
  <si>
    <t>Fielder</t>
  </si>
  <si>
    <t>Caught</t>
  </si>
  <si>
    <t>Stumped</t>
  </si>
  <si>
    <t>Run Out</t>
  </si>
  <si>
    <t>Hit Wicket</t>
  </si>
  <si>
    <t>Handled Ball</t>
  </si>
  <si>
    <t>Interfering with Field</t>
  </si>
  <si>
    <t>Out b/m</t>
  </si>
  <si>
    <t>no b/m</t>
  </si>
  <si>
    <t>for</t>
  </si>
  <si>
    <t>wickets</t>
  </si>
  <si>
    <t>Total Score</t>
  </si>
  <si>
    <t>Total extras</t>
  </si>
  <si>
    <t>Boundary balls</t>
  </si>
  <si>
    <t>Dot balls</t>
  </si>
  <si>
    <t>Fielding wicket keeper</t>
  </si>
  <si>
    <t>Bowlers: Name</t>
  </si>
  <si>
    <t>WPPIndia</t>
  </si>
  <si>
    <t>SenayanLions</t>
  </si>
  <si>
    <t>FezRebels</t>
  </si>
  <si>
    <t>DKISTigers</t>
  </si>
  <si>
    <t>MetroIndians</t>
  </si>
  <si>
    <t>Sub (if used)</t>
  </si>
  <si>
    <r>
      <t>Boxes with a</t>
    </r>
    <r>
      <rPr>
        <b/>
        <sz val="11"/>
        <color theme="1"/>
        <rFont val="Calibri"/>
        <family val="2"/>
        <scheme val="minor"/>
      </rPr>
      <t xml:space="preserve"> Blue</t>
    </r>
    <r>
      <rPr>
        <sz val="11"/>
        <color theme="1"/>
        <rFont val="Calibri"/>
        <family val="2"/>
        <scheme val="minor"/>
      </rPr>
      <t xml:space="preserve"> background are the responsibility of the </t>
    </r>
    <r>
      <rPr>
        <b/>
        <sz val="11"/>
        <color theme="1"/>
        <rFont val="Calibri"/>
        <family val="2"/>
        <scheme val="minor"/>
      </rPr>
      <t>Batting</t>
    </r>
    <r>
      <rPr>
        <sz val="11"/>
        <color theme="1"/>
        <rFont val="Calibri"/>
        <family val="2"/>
        <scheme val="minor"/>
      </rPr>
      <t xml:space="preserve"> team to fill out. The batting team will be penalised points for these boxes that are not filled out.</t>
    </r>
  </si>
  <si>
    <r>
      <t xml:space="preserve">Boxes with an </t>
    </r>
    <r>
      <rPr>
        <b/>
        <sz val="11"/>
        <color theme="1"/>
        <rFont val="Calibri"/>
        <family val="2"/>
        <scheme val="minor"/>
      </rPr>
      <t>Orange</t>
    </r>
    <r>
      <rPr>
        <sz val="11"/>
        <color theme="1"/>
        <rFont val="Calibri"/>
        <family val="2"/>
        <scheme val="minor"/>
      </rPr>
      <t xml:space="preserve"> background are </t>
    </r>
    <r>
      <rPr>
        <b/>
        <sz val="11"/>
        <color theme="1"/>
        <rFont val="Calibri"/>
        <family val="2"/>
        <scheme val="minor"/>
      </rPr>
      <t>voluntary</t>
    </r>
    <r>
      <rPr>
        <sz val="11"/>
        <color theme="1"/>
        <rFont val="Calibri"/>
        <family val="2"/>
        <scheme val="minor"/>
      </rPr>
      <t xml:space="preserve"> to fill out, but players whose boxes are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filled out are</t>
    </r>
    <r>
      <rPr>
        <b/>
        <sz val="11"/>
        <color theme="1"/>
        <rFont val="Calibri"/>
        <family val="2"/>
        <scheme val="minor"/>
      </rPr>
      <t xml:space="preserve"> removed from eligibility for relevant awards</t>
    </r>
  </si>
  <si>
    <r>
      <t xml:space="preserve">The Batting/Bowling check shows that everything adds up (eg batsman + extras = bowlers + lb + b). </t>
    </r>
    <r>
      <rPr>
        <b/>
        <sz val="11"/>
        <color theme="1"/>
        <rFont val="Calibri"/>
        <family val="2"/>
        <scheme val="minor"/>
      </rPr>
      <t>If this box does not read PASS points will be deducted from BOTH teams.</t>
    </r>
  </si>
  <si>
    <t>Boxes with no background should not be entered</t>
  </si>
  <si>
    <t xml:space="preserve">Step 1: </t>
  </si>
  <si>
    <t xml:space="preserve">Step 2: </t>
  </si>
  <si>
    <t xml:space="preserve">Step 3: </t>
  </si>
  <si>
    <t>If a player in your team does not appear in the drop down box to enter into the lineup do the following steps:</t>
  </si>
  <si>
    <t>Step 4:</t>
  </si>
  <si>
    <t xml:space="preserve">Step 5: </t>
  </si>
  <si>
    <t>Rows 39+ are for drop down box lists and should not be touched except to add a player whose name does not appear in your team list (see below)</t>
  </si>
  <si>
    <t xml:space="preserve">Step 6: </t>
  </si>
  <si>
    <t>Go to the Formulas Tab</t>
  </si>
  <si>
    <t>Select the Name Manager Tool</t>
  </si>
  <si>
    <t>In the next cell down, type in the name of your new player (repeat as necessary for multiple new players)</t>
  </si>
  <si>
    <t xml:space="preserve">Example: </t>
  </si>
  <si>
    <t xml:space="preserve">Step 7: </t>
  </si>
  <si>
    <t>Close and return to the player name entry section of the scoresheet and the drop down boxes should now contain the new names as well</t>
  </si>
  <si>
    <t>XXXX JCA LEAGUE 2015/16  -  SCORE SHEET SUMMARY</t>
  </si>
  <si>
    <t>PENALTIES</t>
  </si>
  <si>
    <t>-0.1 point for EACH incomplete coloured box (orange is not included being voluntary) in submission (eg, BF, dot balls, FOW incl batsmen out/no). Boxes properly incomplete (eg for batsmen who DNB, though their names must be there, or FoW for wickets that d</t>
  </si>
  <si>
    <t>-0.1 point for EACH incomplete or inaccurate name (names must match cricHQ team records) for batting, bowling or fielding in spreadsheet or CricHQ submission.</t>
  </si>
  <si>
    <t>NEW PLAYERS</t>
  </si>
  <si>
    <t>FILLING OUT THIS SCORESHEET</t>
  </si>
  <si>
    <t>ToC</t>
  </si>
  <si>
    <t>1. Filling out this Scoresheet</t>
  </si>
  <si>
    <t>2. Adding New Players</t>
  </si>
  <si>
    <t>3. Penalties</t>
  </si>
  <si>
    <t>-0.5 points for EACH team if the Pass/Fail box does not read Pass (scores add up batting and bowling)</t>
  </si>
  <si>
    <t>Most boxes except raw numerical values in this spreadsheet are entered using drop-down lists to select from rather than typing entries.</t>
  </si>
  <si>
    <r>
      <t xml:space="preserve">Obviously there is no penalty for an empty box that </t>
    </r>
    <r>
      <rPr>
        <i/>
        <sz val="11"/>
        <color theme="1"/>
        <rFont val="Calibri"/>
        <family val="2"/>
        <scheme val="minor"/>
      </rPr>
      <t>should</t>
    </r>
    <r>
      <rPr>
        <sz val="11"/>
        <color theme="1"/>
        <rFont val="Calibri"/>
        <family val="2"/>
        <scheme val="minor"/>
      </rPr>
      <t xml:space="preserve"> be empty, eg DNB, or Bowler for a Run Out. But things like boundaries, wides, no balls etc should be entered 0 if appropriate rather than empty</t>
    </r>
  </si>
  <si>
    <t>Toss Won By</t>
  </si>
  <si>
    <t>Who elected to</t>
  </si>
  <si>
    <t xml:space="preserve">Competition: </t>
  </si>
  <si>
    <t>vs</t>
  </si>
  <si>
    <t>Umpire 2:</t>
  </si>
  <si>
    <t>Umpire 1:</t>
  </si>
  <si>
    <t>name</t>
  </si>
  <si>
    <t>team</t>
  </si>
  <si>
    <t>position</t>
  </si>
  <si>
    <t>Game Result:</t>
  </si>
  <si>
    <t>Scorebook adds up?</t>
  </si>
  <si>
    <t>Captains signed completed Scorebook?</t>
  </si>
  <si>
    <t>JCA</t>
  </si>
  <si>
    <t>Competition</t>
  </si>
  <si>
    <t>Toss</t>
  </si>
  <si>
    <t>Bat</t>
  </si>
  <si>
    <t>Position</t>
  </si>
  <si>
    <t>Normal</t>
  </si>
  <si>
    <t>Both Ends</t>
  </si>
  <si>
    <t>Square Leg only</t>
  </si>
  <si>
    <t>League</t>
  </si>
  <si>
    <t>League Playoffs</t>
  </si>
  <si>
    <t>T20 playoffs</t>
  </si>
  <si>
    <t>Yes</t>
  </si>
  <si>
    <t>No</t>
  </si>
  <si>
    <t>Y/N</t>
  </si>
  <si>
    <t>Electronic Scoring?</t>
  </si>
  <si>
    <t>General Report</t>
  </si>
  <si>
    <t>Problems with Team conduct?</t>
  </si>
  <si>
    <t>Problems with Captain conduct?</t>
  </si>
  <si>
    <t>Problems with Player conduct?</t>
  </si>
  <si>
    <t>Bowler Action issues</t>
  </si>
  <si>
    <t>Bowler No Ball Issues</t>
  </si>
  <si>
    <t>Other Issues?</t>
  </si>
  <si>
    <t>Details if yes</t>
  </si>
  <si>
    <t>Inn1</t>
  </si>
  <si>
    <t>inn2</t>
  </si>
  <si>
    <t>Don’t know</t>
  </si>
  <si>
    <t>Find your club player list. Clubs are listed in Row57 cells A57 to P57 and their team lists below them. Do not use the club list in A40-A55</t>
  </si>
  <si>
    <t>Team 1 (Bat 1st)</t>
  </si>
  <si>
    <t>Team 2 (Bat 2nd)</t>
  </si>
  <si>
    <t>Player</t>
  </si>
  <si>
    <t>Batting number</t>
  </si>
  <si>
    <t>Games</t>
  </si>
  <si>
    <t>Innings</t>
  </si>
  <si>
    <t>no</t>
  </si>
  <si>
    <t>BF</t>
  </si>
  <si>
    <t>dots</t>
  </si>
  <si>
    <t>partnerships</t>
  </si>
  <si>
    <t>catches</t>
  </si>
  <si>
    <t>run outs</t>
  </si>
  <si>
    <t>stumpings</t>
  </si>
  <si>
    <t>overs</t>
  </si>
  <si>
    <t>maidens</t>
  </si>
  <si>
    <t>runs</t>
  </si>
  <si>
    <t>wides</t>
  </si>
  <si>
    <t>noballs</t>
  </si>
  <si>
    <t>db bowled</t>
  </si>
  <si>
    <t>bdy bowled</t>
  </si>
  <si>
    <t>Partnership</t>
  </si>
  <si>
    <t>50s</t>
  </si>
  <si>
    <t>100s</t>
  </si>
  <si>
    <t>3/</t>
  </si>
  <si>
    <t>5/</t>
  </si>
  <si>
    <t>Bdy Balls</t>
  </si>
  <si>
    <t>Final Total</t>
  </si>
  <si>
    <t>Match SR</t>
  </si>
  <si>
    <t>Match Runs</t>
  </si>
  <si>
    <t>Balls available</t>
  </si>
  <si>
    <t>base batting MVP</t>
  </si>
  <si>
    <t>converted batting MVP</t>
  </si>
  <si>
    <t>Final Bowling MVP</t>
  </si>
  <si>
    <t>1/2 effect SR</t>
  </si>
  <si>
    <t>Team Econ Rate</t>
  </si>
  <si>
    <t>SAMPLES</t>
  </si>
  <si>
    <t>CALCS</t>
  </si>
  <si>
    <t>EconR Normal Dist</t>
  </si>
  <si>
    <t>Econ R</t>
  </si>
  <si>
    <t>Match ER</t>
  </si>
  <si>
    <t>wicket points</t>
  </si>
  <si>
    <t>Bowling Points</t>
  </si>
  <si>
    <t>3/fielding</t>
  </si>
  <si>
    <t>5/fielding</t>
  </si>
  <si>
    <t>Total fielding</t>
  </si>
  <si>
    <t>Fielding MVP</t>
  </si>
  <si>
    <t>Total MVP</t>
  </si>
  <si>
    <t>Final Batting MVP</t>
  </si>
  <si>
    <t>L</t>
  </si>
  <si>
    <t>Team Result</t>
  </si>
  <si>
    <t>T</t>
  </si>
  <si>
    <t>NR</t>
  </si>
  <si>
    <t>Winning (2pts)</t>
  </si>
  <si>
    <t>Captain (2pts)</t>
  </si>
  <si>
    <t>ChairosTigers</t>
  </si>
  <si>
    <r>
      <t xml:space="preserve">Boxes with a </t>
    </r>
    <r>
      <rPr>
        <b/>
        <sz val="11"/>
        <color theme="1"/>
        <rFont val="Calibri"/>
        <family val="2"/>
        <scheme val="minor"/>
      </rPr>
      <t>Pink</t>
    </r>
    <r>
      <rPr>
        <sz val="11"/>
        <color theme="1"/>
        <rFont val="Calibri"/>
        <family val="2"/>
        <scheme val="minor"/>
      </rPr>
      <t xml:space="preserve"> background are the responsibility of the </t>
    </r>
    <r>
      <rPr>
        <b/>
        <sz val="11"/>
        <color theme="1"/>
        <rFont val="Calibri"/>
        <family val="2"/>
        <scheme val="minor"/>
      </rPr>
      <t>Fielding</t>
    </r>
    <r>
      <rPr>
        <sz val="11"/>
        <color theme="1"/>
        <rFont val="Calibri"/>
        <family val="2"/>
        <scheme val="minor"/>
      </rPr>
      <t xml:space="preserve"> team to fill out. The fielding team will be penalised points for these boxes that are not filled out.</t>
    </r>
  </si>
  <si>
    <r>
      <t xml:space="preserve">Boxes with a </t>
    </r>
    <r>
      <rPr>
        <b/>
        <sz val="11"/>
        <color theme="1"/>
        <rFont val="Calibri"/>
        <family val="2"/>
        <scheme val="minor"/>
      </rPr>
      <t>Grey</t>
    </r>
    <r>
      <rPr>
        <sz val="11"/>
        <color theme="1"/>
        <rFont val="Calibri"/>
        <family val="2"/>
        <scheme val="minor"/>
      </rPr>
      <t xml:space="preserve"> background should not be touched, they are there for calculations and MVP purposes</t>
    </r>
  </si>
  <si>
    <t>Gaurav Pathak</t>
  </si>
  <si>
    <t>Dhiraj Nagpal</t>
  </si>
  <si>
    <t>Bunty Nagpal</t>
  </si>
  <si>
    <t>Gaurang Kapadia</t>
  </si>
  <si>
    <t>George Maghnani</t>
  </si>
  <si>
    <t>Manoj Arora</t>
  </si>
  <si>
    <t>Kishor Gunwani</t>
  </si>
  <si>
    <t>Pankaj Jain</t>
  </si>
  <si>
    <t>Partha Kabi</t>
  </si>
  <si>
    <t>Rachin Arora</t>
  </si>
  <si>
    <t>Santosh Kumar</t>
  </si>
  <si>
    <t>Dwaraknath Naidu</t>
  </si>
  <si>
    <t>Vasudevan Parthasarathy</t>
  </si>
  <si>
    <t>Bhuvan Manjunathan</t>
  </si>
  <si>
    <t>Mahesh Amarnani</t>
  </si>
  <si>
    <t>Pallav Malhotra</t>
  </si>
  <si>
    <t>Vijay Kumar</t>
  </si>
  <si>
    <t>Ashfaq Hussain</t>
  </si>
  <si>
    <t>Dhimanshu Raghuwanshi</t>
  </si>
  <si>
    <t>Abhay Bhalerao</t>
  </si>
  <si>
    <t>Saini Sumit</t>
  </si>
  <si>
    <t>Shivanand Daddimani</t>
  </si>
  <si>
    <t>Amit Lalaji</t>
  </si>
  <si>
    <t>Muhammad Ridho</t>
  </si>
  <si>
    <t>Jagdeep Singh</t>
  </si>
  <si>
    <t>Raja Kundu</t>
  </si>
  <si>
    <t>Ramakrishna Prasad</t>
  </si>
  <si>
    <t>Parshotam Lal</t>
  </si>
  <si>
    <t>Nasir Mehdi</t>
  </si>
  <si>
    <t>Feroz Saeed Dalwai</t>
  </si>
  <si>
    <t>Riski Sanjaya</t>
  </si>
  <si>
    <t>Yashpal Rathor</t>
  </si>
  <si>
    <t>Suheal Ahmed Jaffery Kiranam</t>
  </si>
  <si>
    <t>Ansar Subramanian Mohammed Hameed</t>
  </si>
  <si>
    <t>Mohammad Mubeen</t>
  </si>
  <si>
    <t>Mohideen Nanapallai</t>
  </si>
  <si>
    <t>Anwar Pasha</t>
  </si>
  <si>
    <t>Hitesh Malhotra</t>
  </si>
  <si>
    <t>Ravinder Negi</t>
  </si>
  <si>
    <t>Vijay Srinivasan</t>
  </si>
  <si>
    <t>Malik Thariani</t>
  </si>
  <si>
    <t>Srinivasan (Cheenu) Venkatachalam</t>
  </si>
  <si>
    <t>Manicka vasagan (Manic) G</t>
  </si>
  <si>
    <t>Adithyan Asokan</t>
  </si>
  <si>
    <t>Dennis Susairaj. J</t>
  </si>
  <si>
    <t>Dhanashekaran (sekar ) Ramalingam</t>
  </si>
  <si>
    <t>Jaganathan (Jagan ) Krishnan</t>
  </si>
  <si>
    <t>Jeganathan S</t>
  </si>
  <si>
    <t>Ranjan Shankar</t>
  </si>
  <si>
    <t>Sunil Samtani</t>
  </si>
  <si>
    <t>Satheesh  Kumar Subramanium</t>
  </si>
  <si>
    <t>Santhosh Kumar</t>
  </si>
  <si>
    <t>Srini KG srinivas</t>
  </si>
  <si>
    <t>Satinder Minhas</t>
  </si>
  <si>
    <t>Chacko Smejo</t>
  </si>
  <si>
    <t>Vimal  Nair</t>
  </si>
  <si>
    <t>Vimal  Mohan</t>
  </si>
  <si>
    <t>Vasudevan Rangasamy</t>
  </si>
  <si>
    <t>Vivek Nath Balasundaram</t>
  </si>
  <si>
    <t>Rajeev Gandhi</t>
  </si>
  <si>
    <t>SenayanCC</t>
  </si>
  <si>
    <t>Melvin Ndoen</t>
  </si>
  <si>
    <t>Sachin Gopalan</t>
  </si>
  <si>
    <t>Febrian Dana Wiyoko</t>
  </si>
  <si>
    <t>Aditya Gustama</t>
  </si>
  <si>
    <t>Refan Desnika</t>
  </si>
  <si>
    <t>Juni Aryadi</t>
  </si>
  <si>
    <t>Agi Septyasa</t>
  </si>
  <si>
    <t>Ridwan Amin</t>
  </si>
  <si>
    <t>Arkha Tri Maryanto</t>
  </si>
  <si>
    <t>Alfaris</t>
  </si>
  <si>
    <t>Irwan Siregar</t>
  </si>
  <si>
    <t>Widi Abdurahman Hamid</t>
  </si>
  <si>
    <t>Yeri Rosongna</t>
  </si>
  <si>
    <t>Warwick Peters</t>
  </si>
  <si>
    <t>Corbon Loughnan</t>
  </si>
  <si>
    <t>OP Rajesh</t>
  </si>
  <si>
    <t>Suresh Subramanian</t>
  </si>
  <si>
    <t>Jon Burrough</t>
  </si>
  <si>
    <t>Mick Dumenil</t>
  </si>
  <si>
    <t>Cameron Knox</t>
  </si>
  <si>
    <t xml:space="preserve">Brock Fisher </t>
  </si>
  <si>
    <t>Charles Thursby-Pelham</t>
  </si>
  <si>
    <t xml:space="preserve">Justin Lee </t>
  </si>
  <si>
    <t>Steven Nealon</t>
  </si>
  <si>
    <t xml:space="preserve">Cameron McNamara </t>
  </si>
  <si>
    <t xml:space="preserve">Liam Hammer </t>
  </si>
  <si>
    <t>Alistair Mann</t>
  </si>
  <si>
    <t>Sam Levick</t>
  </si>
  <si>
    <t>Brenton Harris</t>
  </si>
  <si>
    <t>Debmalaya Jana</t>
  </si>
  <si>
    <t>Tim Simpson</t>
  </si>
  <si>
    <t>DJ Mathew</t>
  </si>
  <si>
    <t>Rohit Nair</t>
  </si>
  <si>
    <t xml:space="preserve">Simon Williams </t>
  </si>
  <si>
    <t xml:space="preserve">Stew Lyons </t>
  </si>
  <si>
    <t xml:space="preserve">Mark Soffer </t>
  </si>
  <si>
    <t xml:space="preserve">Dick Slaney </t>
  </si>
  <si>
    <t xml:space="preserve">Phil Reid </t>
  </si>
  <si>
    <t xml:space="preserve">Davin Frankel </t>
  </si>
  <si>
    <t>James Trewin</t>
  </si>
  <si>
    <t>Sivarama Yegnaraman</t>
  </si>
  <si>
    <t>Ashwin Sunder</t>
  </si>
  <si>
    <t xml:space="preserve">Irfan Raza </t>
  </si>
  <si>
    <t>Sucheet Parikh</t>
  </si>
  <si>
    <t>Ahmad Ramdhoni</t>
  </si>
  <si>
    <t>Marten Eddy</t>
  </si>
  <si>
    <t>Stephen Barber</t>
  </si>
  <si>
    <t>Sandeep Kukkar</t>
  </si>
  <si>
    <t>Sravan Kumar</t>
  </si>
  <si>
    <t>Subhash Mogdil</t>
  </si>
  <si>
    <t>Hanan Khalid</t>
  </si>
  <si>
    <t>Aqsam Omar</t>
  </si>
  <si>
    <t>Rahul Pagad</t>
  </si>
  <si>
    <t>Fachri Nurhadi</t>
  </si>
  <si>
    <t>Gema Fajar</t>
  </si>
  <si>
    <t>Muhammad Ari Cahyo Nugroho</t>
  </si>
  <si>
    <t>Muhammad Syahrul Rahmadan</t>
  </si>
  <si>
    <t>Angga Lucky</t>
  </si>
  <si>
    <t>Fernandes Nato Wellarana</t>
  </si>
  <si>
    <t>Fiskal Tirta Yoga Sabara</t>
  </si>
  <si>
    <t>Rudolf Febyant Matatias</t>
  </si>
  <si>
    <t>Chandroo R Rajalingam</t>
  </si>
  <si>
    <t>Sabu Joy</t>
  </si>
  <si>
    <t>On Sheet 1 only, go to the bottom of the list of players for your club (eg for WISCI, cell A83 Willian Noronha)</t>
  </si>
  <si>
    <r>
      <t xml:space="preserve">Find your club/team name, which should appear </t>
    </r>
    <r>
      <rPr>
        <b/>
        <sz val="11"/>
        <color theme="1"/>
        <rFont val="Calibri"/>
        <family val="2"/>
        <scheme val="minor"/>
      </rPr>
      <t>twice</t>
    </r>
    <r>
      <rPr>
        <sz val="11"/>
        <color theme="1"/>
        <rFont val="Calibri"/>
        <family val="2"/>
        <scheme val="minor"/>
      </rPr>
      <t xml:space="preserve">, and in </t>
    </r>
    <r>
      <rPr>
        <b/>
        <sz val="11"/>
        <color theme="1"/>
        <rFont val="Calibri"/>
        <family val="2"/>
        <scheme val="minor"/>
      </rPr>
      <t>both</t>
    </r>
    <r>
      <rPr>
        <sz val="11"/>
        <color theme="1"/>
        <rFont val="Calibri"/>
        <family val="2"/>
        <scheme val="minor"/>
      </rPr>
      <t xml:space="preserve"> lines check that 'value' in the 'refers to' box extends down the list length to include the newly typed name. If it does not edit it so it does.</t>
    </r>
  </si>
  <si>
    <t>If three new names were added to WISCI instead of one you would change A84 to A86 in both lines</t>
  </si>
  <si>
    <t xml:space="preserve">WISCI name list was A58 to A84, after adding one name, no change would be needed </t>
  </si>
  <si>
    <t>Karan Tiwari</t>
  </si>
  <si>
    <t xml:space="preserve">Note that Cells B3 and B4 must be fille dout </t>
  </si>
  <si>
    <t>Anjaneyulu Katta</t>
  </si>
  <si>
    <t>David Surjit</t>
  </si>
  <si>
    <t>Harish Vaidyanathan</t>
  </si>
  <si>
    <t>Kapil Goel</t>
  </si>
  <si>
    <t>Maneesh Dubey</t>
  </si>
  <si>
    <t>Manikandan Chandrashekar</t>
  </si>
  <si>
    <t>Nagraj Bitla</t>
  </si>
  <si>
    <t>Palwinder Singh</t>
  </si>
  <si>
    <t>Piyush Jha</t>
  </si>
  <si>
    <t>Rajat Jain</t>
  </si>
  <si>
    <t>Sathyanarayana Mendarkar</t>
  </si>
  <si>
    <t>Shashank Arora</t>
  </si>
  <si>
    <t>Shivansh Jain</t>
  </si>
  <si>
    <t>Syed Hameed</t>
  </si>
  <si>
    <t>Vijay Krishnan</t>
  </si>
  <si>
    <t>Vinod Bisht</t>
  </si>
  <si>
    <t>Vivek Shetty</t>
  </si>
  <si>
    <t>Ajay Jaswal</t>
  </si>
  <si>
    <t>Ajit Prabhu</t>
  </si>
  <si>
    <t>Anuj Banerjee</t>
  </si>
  <si>
    <t>Chetan Porwal</t>
  </si>
  <si>
    <t>Hetal Patel</t>
  </si>
  <si>
    <t>Ishwar Thakkar</t>
  </si>
  <si>
    <t>Jatinder Sandhu</t>
  </si>
  <si>
    <t>Keyur Moradia</t>
  </si>
  <si>
    <t>Kunal Malhotra</t>
  </si>
  <si>
    <t>Mayank Puri</t>
  </si>
  <si>
    <t>Miraz Monga</t>
  </si>
  <si>
    <t>Mitesh Dingra</t>
  </si>
  <si>
    <t>Mufasil PM</t>
  </si>
  <si>
    <t>Pradeep Patnaik</t>
  </si>
  <si>
    <t>Prashant Kamat</t>
  </si>
  <si>
    <t>Praveen Praveen</t>
  </si>
  <si>
    <t>Punit Gambhir</t>
  </si>
  <si>
    <t>Rakesh Rathore</t>
  </si>
  <si>
    <t>Rakesh Sharma</t>
  </si>
  <si>
    <t>Ramesh Dubagunta</t>
  </si>
  <si>
    <t>Rinkesh Khosla</t>
  </si>
  <si>
    <t>Rizwan Khan</t>
  </si>
  <si>
    <t>Roopesh Shah</t>
  </si>
  <si>
    <t>Roy Roy</t>
  </si>
  <si>
    <t>Samir Sharma</t>
  </si>
  <si>
    <t>Sandeep Gaikwad</t>
  </si>
  <si>
    <t>Sanjeev Modi</t>
  </si>
  <si>
    <t>Satish Pansare</t>
  </si>
  <si>
    <t>Satish Rani</t>
  </si>
  <si>
    <t>Shankar CS</t>
  </si>
  <si>
    <t>Shivaz Monga</t>
  </si>
  <si>
    <t>Shobit Tandon</t>
  </si>
  <si>
    <t>Vikas Gupta</t>
  </si>
  <si>
    <t>Vishav Sharma</t>
  </si>
  <si>
    <t>Yogish Lad</t>
  </si>
  <si>
    <t>Adarsh srikanth</t>
  </si>
  <si>
    <t>Ajeet Bhatt</t>
  </si>
  <si>
    <t>Ashutosh Mishra</t>
  </si>
  <si>
    <t>Bharat Dholakhandi</t>
  </si>
  <si>
    <t>Deepak Sarna</t>
  </si>
  <si>
    <t>Diwakar Mohan</t>
  </si>
  <si>
    <t>Gunasekran</t>
  </si>
  <si>
    <t>Ishan daniel</t>
  </si>
  <si>
    <t>Jalaj Chaturvedi</t>
  </si>
  <si>
    <t>Manish Semwal</t>
  </si>
  <si>
    <t>Maulik Trivedi</t>
  </si>
  <si>
    <t>Naresh Gupta</t>
  </si>
  <si>
    <t>Nikhil D'souza</t>
  </si>
  <si>
    <t>Pratyush Chatuvedi</t>
  </si>
  <si>
    <t>Satya Ganesh</t>
  </si>
  <si>
    <t>Sourav Bera</t>
  </si>
  <si>
    <t>ANAND SRINIVASAN</t>
  </si>
  <si>
    <t>ANIL KAUL</t>
  </si>
  <si>
    <t>ASANKA DE SARAM</t>
  </si>
  <si>
    <t>AVAKASH LOHIA</t>
  </si>
  <si>
    <t>BABA SIVASANKARAN</t>
  </si>
  <si>
    <t>DIHAN SILVA</t>
  </si>
  <si>
    <t>GAURAV KAPOOR</t>
  </si>
  <si>
    <t>KESAVADAS RAVINDRAN</t>
  </si>
  <si>
    <t>MUHRIZ MUZAMMIL</t>
  </si>
  <si>
    <t>PRAVEEN UPPAL</t>
  </si>
  <si>
    <t>PULOKESH (PULO) MAJUMDAR</t>
  </si>
  <si>
    <t>RAJEEV KUMAR</t>
  </si>
  <si>
    <t>RAJESH MRIDULA</t>
  </si>
  <si>
    <t>RAM KRISHNAN</t>
  </si>
  <si>
    <t>RAZU AHMED</t>
  </si>
  <si>
    <t>RIAZ UR RAHMAN</t>
  </si>
  <si>
    <t>SABRY SALAHUDEEN</t>
  </si>
  <si>
    <t>SAJITH PULLARKAT</t>
  </si>
  <si>
    <t>VINEET PRASANI</t>
  </si>
  <si>
    <t>Romesh Paul</t>
  </si>
  <si>
    <t>Tim Gutsell</t>
  </si>
  <si>
    <t>Jon Baker</t>
  </si>
  <si>
    <t>Andrew Barnes</t>
  </si>
  <si>
    <t>Biswajit Pradhan</t>
  </si>
  <si>
    <t>Eki Antaria</t>
  </si>
  <si>
    <t>Robert Baldwin</t>
  </si>
  <si>
    <t>Olivier Bouwmeester</t>
  </si>
  <si>
    <t>Reuben Brimage</t>
  </si>
  <si>
    <t>Mark Bruny</t>
  </si>
  <si>
    <t>Ben Burgess</t>
  </si>
  <si>
    <t>Liam Cass</t>
  </si>
  <si>
    <t>Steve Cheshire</t>
  </si>
  <si>
    <t>Pete Clark</t>
  </si>
  <si>
    <t>Ben Corbett</t>
  </si>
  <si>
    <t>Kunal Desai</t>
  </si>
  <si>
    <t>Sean Hankin</t>
  </si>
  <si>
    <t>Justin Horan</t>
  </si>
  <si>
    <t>Kookie Jambunathan</t>
  </si>
  <si>
    <t>Sam Mabey</t>
  </si>
  <si>
    <t>Scott Masson</t>
  </si>
  <si>
    <t>Sam Mirza</t>
  </si>
  <si>
    <t>Rick Monaghan</t>
  </si>
  <si>
    <t>Damien Ross</t>
  </si>
  <si>
    <t>Jared Seiffert</t>
  </si>
  <si>
    <t>Mark Sims</t>
  </si>
  <si>
    <t>Malay Trivedi</t>
  </si>
  <si>
    <t>Josh Van Vianen</t>
  </si>
  <si>
    <t>Lindsay Wood</t>
  </si>
  <si>
    <t>WILLIAM NORONHA</t>
  </si>
  <si>
    <t>WILFRED SCHULTZ</t>
  </si>
  <si>
    <t>AMAN SINGH</t>
  </si>
  <si>
    <t>VIRAJ BHAMMAR</t>
  </si>
  <si>
    <t>RAJEEV RAJESWARAN</t>
  </si>
  <si>
    <t>BOB PLATH</t>
  </si>
  <si>
    <t>GAURAV TIWARI</t>
  </si>
  <si>
    <t>JP LE RICHE</t>
  </si>
  <si>
    <t>DEEPAK SINGH</t>
  </si>
  <si>
    <t>RAJNEESH VASUDEVA</t>
  </si>
  <si>
    <t>AVINASH PAREEK</t>
  </si>
  <si>
    <t>ZACARIAH CUTCLIFFE</t>
  </si>
  <si>
    <t>JIM HOWLETT</t>
  </si>
  <si>
    <t>ANANT BHAKE</t>
  </si>
  <si>
    <t>AMBUJ SINGH</t>
  </si>
  <si>
    <t>AMBUJ DUBEY</t>
  </si>
  <si>
    <t>SUHAIL MODAK</t>
  </si>
  <si>
    <t>TIM WATSON</t>
  </si>
  <si>
    <t>GREG HAYNE</t>
  </si>
  <si>
    <t>PRAKASH SUBRAMANIAN</t>
  </si>
  <si>
    <t>HIMANSHU SHEKAR</t>
  </si>
  <si>
    <t>TOBY NUGENT</t>
  </si>
  <si>
    <t>PAUL GRIFFITH</t>
  </si>
  <si>
    <t>Prakash Kewlani</t>
  </si>
  <si>
    <t>Caught WK</t>
  </si>
  <si>
    <t>Ravi Venkatesh</t>
  </si>
  <si>
    <t>TIMOTHY PUSHPAKUMARA</t>
  </si>
  <si>
    <t>Club</t>
  </si>
  <si>
    <t>wk Dismissal</t>
  </si>
  <si>
    <t>Sridhar Sasikumar</t>
  </si>
  <si>
    <t>Uttam Singh Gyan Singh</t>
  </si>
  <si>
    <t>Usman Afridi</t>
  </si>
  <si>
    <t>Rohan Rajpal</t>
  </si>
  <si>
    <t>Jegan Rangachari</t>
  </si>
  <si>
    <t>Peter Wallace</t>
  </si>
  <si>
    <t>Mohammad Imran</t>
  </si>
  <si>
    <t>Mohit Dilawar Singh</t>
  </si>
  <si>
    <t>Surendran Chandramohan</t>
  </si>
  <si>
    <t>Vinayak Kurkoti</t>
  </si>
  <si>
    <t>Sultan Saleh Uddin Moon</t>
  </si>
  <si>
    <t>Shankar Mishra</t>
  </si>
  <si>
    <t>Rachin Kumar</t>
  </si>
  <si>
    <t>Swaroop Chavan J</t>
  </si>
  <si>
    <t>Poonam Bumb</t>
  </si>
  <si>
    <t>Neeraj Chaddha</t>
  </si>
  <si>
    <t xml:space="preserve">Anil Gawda </t>
  </si>
  <si>
    <t xml:space="preserve">Dipak Grover </t>
  </si>
  <si>
    <t>Harshal Sunil Rane</t>
  </si>
  <si>
    <t>Mukesh Khetan</t>
  </si>
  <si>
    <t xml:space="preserve">Nagesh Lakshmi Gawda </t>
  </si>
  <si>
    <t>Sanwar Agrawal</t>
  </si>
  <si>
    <t>Surendra Khetan</t>
  </si>
  <si>
    <t>Susil Khanna</t>
  </si>
  <si>
    <t>Viplow Singh</t>
  </si>
  <si>
    <t>Vishal Garg</t>
  </si>
  <si>
    <t>Chinmay Mallik</t>
  </si>
  <si>
    <t>Zulki Hamid</t>
  </si>
  <si>
    <t>Vijaya Varma Sayyaparaju</t>
  </si>
  <si>
    <t>Nitin Gupta</t>
  </si>
  <si>
    <t xml:space="preserve">Prakash </t>
  </si>
  <si>
    <t>DAVID HOLME</t>
  </si>
  <si>
    <t>Peter Boyd</t>
  </si>
  <si>
    <t>Arun Pandi</t>
  </si>
  <si>
    <t>Saleem</t>
  </si>
  <si>
    <t>Naushad</t>
  </si>
  <si>
    <t>Maneesh Tripathi</t>
  </si>
  <si>
    <t>Srinivas Murthy</t>
  </si>
  <si>
    <t>Rajendra Singh</t>
  </si>
  <si>
    <t>Taimur Khan</t>
  </si>
  <si>
    <t>Rakesh</t>
  </si>
  <si>
    <t>Bilal Abdus Samad</t>
  </si>
  <si>
    <t>Steve Barraclough</t>
  </si>
  <si>
    <t>Nikhilesh</t>
  </si>
  <si>
    <t>Vinod Myakkam</t>
  </si>
  <si>
    <t>Andriani</t>
  </si>
  <si>
    <t>Dan Brown</t>
  </si>
  <si>
    <t>Dan Thomas</t>
  </si>
  <si>
    <t>Ankit Gupta</t>
  </si>
  <si>
    <t>Rakshan Rai</t>
  </si>
  <si>
    <t>Arun Franklin</t>
  </si>
  <si>
    <t>Rehan Abdul Ghaffar</t>
  </si>
  <si>
    <t>Prabhakar Dutta</t>
  </si>
  <si>
    <t>Sameem Khan</t>
  </si>
  <si>
    <t>Saqib Khan</t>
  </si>
  <si>
    <t>Aijaz Matoo</t>
  </si>
  <si>
    <t>Amar Kapadia</t>
  </si>
  <si>
    <t>Amir Mohammad</t>
  </si>
  <si>
    <t>Amit Ambre</t>
  </si>
  <si>
    <t>Amrithanand Mandook</t>
  </si>
  <si>
    <t>Anjar Tadarus</t>
  </si>
  <si>
    <t>Ashit Mehta</t>
  </si>
  <si>
    <t>Cecil Jacob</t>
  </si>
  <si>
    <t>Faisal Hashmi</t>
  </si>
  <si>
    <t>Haider Ali</t>
  </si>
  <si>
    <t>Malcom Monteiro</t>
  </si>
  <si>
    <t>Javed Hayat</t>
  </si>
  <si>
    <t>Jibu Chacko</t>
  </si>
  <si>
    <t>Jimmy Ahmed</t>
  </si>
  <si>
    <t>Kanav Choudary</t>
  </si>
  <si>
    <t>Malik Arslan</t>
  </si>
  <si>
    <t>Muhaddis</t>
  </si>
  <si>
    <t>Parag Haldankar</t>
  </si>
  <si>
    <t>Prakash Vijaykumar</t>
  </si>
  <si>
    <t>Prem Subramanian</t>
  </si>
  <si>
    <t>Puneet Khurana</t>
  </si>
  <si>
    <t>Raj Kapadia</t>
  </si>
  <si>
    <t>Rajiv Ramnarayan</t>
  </si>
  <si>
    <t>Sandesh Pawar</t>
  </si>
  <si>
    <t>Shubho Sarkar</t>
  </si>
  <si>
    <t>Shubhraneel Mitra</t>
  </si>
  <si>
    <t>Rakesh Gowda</t>
  </si>
  <si>
    <t>Purwakata</t>
  </si>
  <si>
    <t>NALAKA KODITUWAKKU</t>
  </si>
  <si>
    <t>Abdul Rahman Ganesa Raja</t>
  </si>
  <si>
    <t>Mohammed Yaqoob</t>
  </si>
  <si>
    <t>Christian Hirst</t>
  </si>
  <si>
    <t>Greg Furness</t>
  </si>
  <si>
    <t>Navin Param</t>
  </si>
  <si>
    <t>Owais Parry</t>
  </si>
  <si>
    <t>Suda Arsa</t>
  </si>
  <si>
    <t>Akarsh Srivasthva</t>
  </si>
  <si>
    <t>Avi Bakuni</t>
  </si>
  <si>
    <t>Bhagatsinh londhe</t>
  </si>
  <si>
    <t>Dilip Udayashankar</t>
  </si>
  <si>
    <t>Gautam Chakravarthy</t>
  </si>
  <si>
    <t>Krishna Kumar V</t>
  </si>
  <si>
    <t>Mayank Sharma</t>
  </si>
  <si>
    <t>Neeraj Sharma</t>
  </si>
  <si>
    <t>Rakesh Chand</t>
  </si>
  <si>
    <t>Ruthra Kumar Loganathan</t>
  </si>
  <si>
    <t>Sambi Reddy Marella</t>
  </si>
  <si>
    <t>Sankar Velayudham</t>
  </si>
  <si>
    <t>Sujay Kumar Saha</t>
  </si>
  <si>
    <t>Tanmay Patel</t>
  </si>
  <si>
    <t>Vivek Tripathi</t>
  </si>
  <si>
    <t>Andrew Sandi Setiawan</t>
  </si>
  <si>
    <t>Desandri</t>
  </si>
  <si>
    <t>Rupesh Shah</t>
  </si>
  <si>
    <t>Vignesh Mahadevan</t>
  </si>
  <si>
    <t>Saleem Khan</t>
  </si>
  <si>
    <t>Arun Rajain</t>
  </si>
  <si>
    <t>Hardeep Sidhu</t>
  </si>
  <si>
    <t>Vishal Ganti</t>
  </si>
  <si>
    <t>Amit Dabas</t>
  </si>
  <si>
    <t>Irwan Buhari</t>
  </si>
  <si>
    <t>Soni Hawoe</t>
  </si>
  <si>
    <t>Kshitij</t>
  </si>
  <si>
    <t>Rohan Tripathi</t>
  </si>
  <si>
    <t>Samir Patel</t>
  </si>
  <si>
    <t>Sushil Khanna</t>
  </si>
  <si>
    <t>ANIL PRABHAKAR</t>
  </si>
  <si>
    <t>Razu Ahmed</t>
  </si>
  <si>
    <t>Sameem</t>
  </si>
  <si>
    <t>Abhijit Kunte</t>
  </si>
  <si>
    <t>Sadanand Janpandit</t>
  </si>
  <si>
    <t>Geoff Perryman</t>
  </si>
  <si>
    <t>Morgan McKellar</t>
  </si>
  <si>
    <t>Peter Johnson</t>
  </si>
  <si>
    <t>Ardan</t>
  </si>
  <si>
    <t>Dandi</t>
  </si>
  <si>
    <t>Ajay Mishra</t>
  </si>
  <si>
    <t>Vijay Kumar S</t>
  </si>
  <si>
    <t>jawahar subra manian</t>
  </si>
  <si>
    <t>Riyaz Hyder</t>
  </si>
  <si>
    <t>Yashpal Rathore</t>
  </si>
  <si>
    <t>Abhishek Sinha</t>
  </si>
  <si>
    <t>Amit Bhat</t>
  </si>
  <si>
    <t>Anandalwar Santhanam</t>
  </si>
  <si>
    <t>Arjun Chauhan</t>
  </si>
  <si>
    <t>Atul Kakkar</t>
  </si>
  <si>
    <t>Ashish Khaitan</t>
  </si>
  <si>
    <t>Deepak Khullar</t>
  </si>
  <si>
    <t>Bubun Bubun</t>
  </si>
  <si>
    <t>Gajendra Asaliya</t>
  </si>
  <si>
    <t>Ashwin Shetty</t>
  </si>
  <si>
    <t>Deepak Kedia</t>
  </si>
  <si>
    <t>Govind Sodani</t>
  </si>
  <si>
    <t>Hari Krishnan</t>
  </si>
  <si>
    <t>John Anthony</t>
  </si>
  <si>
    <t>Karyadi Karyadi</t>
  </si>
  <si>
    <t>Harish Tiwari</t>
  </si>
  <si>
    <t>Karthikeyan Sakthivel</t>
  </si>
  <si>
    <t>Kaushik Vishvanath</t>
  </si>
  <si>
    <t>Harshad Bhat</t>
  </si>
  <si>
    <t>Kiruba Sankar</t>
  </si>
  <si>
    <t>Nakul Boora</t>
  </si>
  <si>
    <t>John Dulip Kumar</t>
  </si>
  <si>
    <t>Narasimha Lakshmi Gowda</t>
  </si>
  <si>
    <t>Nitin Joshi</t>
  </si>
  <si>
    <t>Kapil Bhutra</t>
  </si>
  <si>
    <t>Prabhukaliraj Kanagarajan</t>
  </si>
  <si>
    <t>PC Sethi</t>
  </si>
  <si>
    <t>Mahesh Thadani</t>
  </si>
  <si>
    <t>Prem Kumar Subbaiah</t>
  </si>
  <si>
    <t>R Srikkanth</t>
  </si>
  <si>
    <t>Mohit Keshwani</t>
  </si>
  <si>
    <t>Ramachandran parthasarathy</t>
  </si>
  <si>
    <t>Muhammad Ishaq Khan</t>
  </si>
  <si>
    <t>Reddy A.V</t>
  </si>
  <si>
    <t>Sandeep Bhandarwar</t>
  </si>
  <si>
    <t>Neetesh Pansare</t>
  </si>
  <si>
    <t>Sandeep Boora</t>
  </si>
  <si>
    <t>Sakthi Narayanan</t>
  </si>
  <si>
    <t>Rahul Kukreja</t>
  </si>
  <si>
    <t>Salahudeen Hameed Mohamed</t>
  </si>
  <si>
    <t>Shailesh Thulaskar</t>
  </si>
  <si>
    <t>Rahul Thukral</t>
  </si>
  <si>
    <t>Sivakumar Thangasamy Suriyamoorthy</t>
  </si>
  <si>
    <t>Srivathsan V B</t>
  </si>
  <si>
    <t>Subhashish Parida</t>
  </si>
  <si>
    <t>Suresh Chidambaram</t>
  </si>
  <si>
    <t>Sudir Sharma</t>
  </si>
  <si>
    <t>Ravinder Singh</t>
  </si>
  <si>
    <t>Venkatesh Rajendran</t>
  </si>
  <si>
    <t>Suresh Kumar</t>
  </si>
  <si>
    <t>Rikesh Parikh</t>
  </si>
  <si>
    <t>Vinod Verghese</t>
  </si>
  <si>
    <t>Vishnu Kumar</t>
  </si>
  <si>
    <t>Shekhar Saraf</t>
  </si>
  <si>
    <t>Vishwajit Tripathi</t>
  </si>
  <si>
    <t>Sushant Gambhir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</si>
</sst>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4809]d\ mmmm\,\ yyyy;@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 tint="-0.499984740745262"/>
      <name val="Calibri"/>
      <family val="2"/>
      <scheme val="minor"/>
    </font>
    <font>
      <b/>
      <sz val="20"/>
      <color rgb="FFFFFF00"/>
      <name val="Arial"/>
      <family val="2"/>
    </font>
    <font>
      <sz val="11"/>
      <color theme="9" tint="0.3999755851924192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>
        <stop position="0">
          <color theme="4" tint="0.80001220740379042"/>
        </stop>
        <stop position="0.5">
          <color theme="0"/>
        </stop>
        <stop position="1">
          <color theme="4" tint="0.80001220740379042"/>
        </stop>
      </gradientFill>
    </fill>
    <fill>
      <gradientFill>
        <stop position="0">
          <color theme="3" tint="0.59999389629810485"/>
        </stop>
        <stop position="0.5">
          <color theme="0"/>
        </stop>
        <stop position="1">
          <color theme="3" tint="0.59999389629810485"/>
        </stop>
      </gradient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6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/>
    <xf numFmtId="0" fontId="6" fillId="0" borderId="0" xfId="1" applyAlignment="1" applyProtection="1">
      <alignment wrapText="1"/>
    </xf>
    <xf numFmtId="2" fontId="0" fillId="0" borderId="0" xfId="0" applyNumberFormat="1" applyFill="1" applyBorder="1" applyProtection="1"/>
    <xf numFmtId="0" fontId="0" fillId="2" borderId="0" xfId="0" applyFill="1" applyProtection="1">
      <protection locked="0"/>
    </xf>
    <xf numFmtId="0" fontId="0" fillId="2" borderId="1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7" fillId="4" borderId="0" xfId="0" applyFont="1" applyFill="1" applyAlignment="1" applyProtection="1">
      <protection locked="0"/>
    </xf>
    <xf numFmtId="0" fontId="5" fillId="4" borderId="0" xfId="0" applyFont="1" applyFill="1" applyAlignment="1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14" xfId="0" applyBorder="1" applyProtection="1"/>
    <xf numFmtId="0" fontId="0" fillId="0" borderId="18" xfId="0" applyBorder="1" applyProtection="1"/>
    <xf numFmtId="0" fontId="0" fillId="0" borderId="15" xfId="0" applyBorder="1" applyProtection="1"/>
    <xf numFmtId="0" fontId="0" fillId="0" borderId="6" xfId="0" applyBorder="1" applyAlignment="1" applyProtection="1">
      <alignment horizontal="center"/>
    </xf>
    <xf numFmtId="0" fontId="0" fillId="0" borderId="22" xfId="0" applyBorder="1" applyProtection="1"/>
    <xf numFmtId="0" fontId="0" fillId="0" borderId="16" xfId="0" applyBorder="1" applyProtection="1"/>
    <xf numFmtId="0" fontId="0" fillId="0" borderId="6" xfId="0" applyBorder="1" applyAlignment="1" applyProtection="1">
      <alignment horizontal="left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7" xfId="0" applyBorder="1" applyProtection="1"/>
    <xf numFmtId="0" fontId="0" fillId="0" borderId="6" xfId="0" applyBorder="1" applyProtection="1"/>
    <xf numFmtId="0" fontId="3" fillId="0" borderId="0" xfId="0" applyFont="1" applyFill="1" applyBorder="1" applyAlignment="1" applyProtection="1">
      <alignment horizontal="right"/>
    </xf>
    <xf numFmtId="0" fontId="0" fillId="0" borderId="25" xfId="0" applyBorder="1" applyProtection="1"/>
    <xf numFmtId="0" fontId="0" fillId="0" borderId="26" xfId="0" applyBorder="1" applyAlignment="1" applyProtection="1">
      <alignment horizontal="center"/>
    </xf>
    <xf numFmtId="1" fontId="0" fillId="0" borderId="26" xfId="0" applyNumberFormat="1" applyFill="1" applyBorder="1" applyProtection="1"/>
    <xf numFmtId="0" fontId="0" fillId="0" borderId="26" xfId="0" applyBorder="1" applyProtection="1"/>
    <xf numFmtId="0" fontId="0" fillId="0" borderId="27" xfId="0" applyBorder="1" applyProtection="1"/>
    <xf numFmtId="0" fontId="0" fillId="0" borderId="0" xfId="0" applyFill="1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21" xfId="0" applyFill="1" applyBorder="1" applyProtection="1"/>
    <xf numFmtId="0" fontId="0" fillId="0" borderId="24" xfId="0" applyFill="1" applyBorder="1" applyProtection="1"/>
    <xf numFmtId="0" fontId="1" fillId="0" borderId="2" xfId="0" applyFont="1" applyFill="1" applyBorder="1" applyProtection="1"/>
    <xf numFmtId="0" fontId="0" fillId="0" borderId="4" xfId="0" applyBorder="1" applyAlignment="1" applyProtection="1">
      <alignment horizontal="right"/>
    </xf>
    <xf numFmtId="0" fontId="0" fillId="0" borderId="4" xfId="0" applyBorder="1" applyAlignment="1" applyProtection="1">
      <alignment horizontal="center"/>
    </xf>
    <xf numFmtId="0" fontId="0" fillId="0" borderId="4" xfId="0" applyBorder="1" applyAlignment="1" applyProtection="1">
      <alignment horizontal="left"/>
    </xf>
    <xf numFmtId="0" fontId="0" fillId="0" borderId="5" xfId="0" applyBorder="1" applyProtection="1"/>
    <xf numFmtId="0" fontId="0" fillId="0" borderId="11" xfId="0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5" fillId="4" borderId="0" xfId="0" applyFont="1" applyFill="1" applyProtection="1"/>
    <xf numFmtId="0" fontId="5" fillId="4" borderId="18" xfId="0" applyFont="1" applyFill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5" fillId="4" borderId="0" xfId="0" applyFont="1" applyFill="1" applyBorder="1" applyProtection="1"/>
    <xf numFmtId="0" fontId="0" fillId="0" borderId="0" xfId="0" quotePrefix="1"/>
    <xf numFmtId="0" fontId="3" fillId="0" borderId="0" xfId="0" applyFont="1"/>
    <xf numFmtId="0" fontId="0" fillId="0" borderId="0" xfId="0" applyAlignment="1">
      <alignment horizontal="right"/>
    </xf>
    <xf numFmtId="0" fontId="0" fillId="3" borderId="2" xfId="0" applyFill="1" applyBorder="1"/>
    <xf numFmtId="0" fontId="0" fillId="3" borderId="29" xfId="0" applyFill="1" applyBorder="1"/>
    <xf numFmtId="0" fontId="0" fillId="3" borderId="28" xfId="0" applyFill="1" applyBorder="1"/>
    <xf numFmtId="0" fontId="9" fillId="4" borderId="19" xfId="0" applyFont="1" applyFill="1" applyBorder="1"/>
    <xf numFmtId="0" fontId="9" fillId="4" borderId="0" xfId="0" applyFont="1" applyFill="1" applyBorder="1"/>
    <xf numFmtId="0" fontId="9" fillId="4" borderId="0" xfId="0" applyFont="1" applyFill="1"/>
    <xf numFmtId="0" fontId="9" fillId="4" borderId="18" xfId="0" applyFont="1" applyFill="1" applyBorder="1"/>
    <xf numFmtId="0" fontId="2" fillId="0" borderId="0" xfId="0" applyFont="1"/>
    <xf numFmtId="0" fontId="0" fillId="4" borderId="18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0" xfId="0" applyFill="1" applyBorder="1" applyAlignment="1" applyProtection="1">
      <alignment horizontal="right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0" fontId="0" fillId="4" borderId="8" xfId="0" applyFill="1" applyBorder="1" applyProtection="1">
      <protection locked="0"/>
    </xf>
    <xf numFmtId="0" fontId="0" fillId="4" borderId="9" xfId="0" applyFill="1" applyBorder="1" applyAlignment="1" applyProtection="1">
      <alignment horizontal="right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left"/>
      <protection locked="0"/>
    </xf>
    <xf numFmtId="1" fontId="0" fillId="2" borderId="0" xfId="0" applyNumberFormat="1" applyFill="1" applyBorder="1" applyProtection="1">
      <protection locked="0"/>
    </xf>
    <xf numFmtId="164" fontId="0" fillId="2" borderId="0" xfId="0" applyNumberFormat="1" applyFill="1" applyAlignment="1" applyProtection="1">
      <protection locked="0"/>
    </xf>
    <xf numFmtId="2" fontId="0" fillId="0" borderId="0" xfId="0" applyNumberFormat="1" applyAlignment="1" applyProtection="1"/>
    <xf numFmtId="0" fontId="0" fillId="0" borderId="0" xfId="0" applyAlignment="1" applyProtection="1">
      <alignment horizontal="center"/>
    </xf>
    <xf numFmtId="0" fontId="4" fillId="8" borderId="0" xfId="0" applyFont="1" applyFill="1" applyProtection="1"/>
    <xf numFmtId="0" fontId="4" fillId="8" borderId="18" xfId="0" applyFont="1" applyFill="1" applyBorder="1" applyProtection="1"/>
    <xf numFmtId="0" fontId="4" fillId="8" borderId="19" xfId="0" applyFont="1" applyFill="1" applyBorder="1" applyProtection="1"/>
    <xf numFmtId="0" fontId="4" fillId="8" borderId="0" xfId="0" applyFont="1" applyFill="1" applyBorder="1" applyProtection="1"/>
    <xf numFmtId="0" fontId="0" fillId="8" borderId="0" xfId="0" applyFill="1" applyProtection="1"/>
    <xf numFmtId="0" fontId="10" fillId="0" borderId="5" xfId="0" applyFont="1" applyBorder="1" applyProtection="1"/>
    <xf numFmtId="0" fontId="0" fillId="9" borderId="7" xfId="0" applyFill="1" applyBorder="1" applyProtection="1">
      <protection locked="0"/>
    </xf>
    <xf numFmtId="0" fontId="0" fillId="9" borderId="18" xfId="0" applyFill="1" applyBorder="1" applyProtection="1">
      <protection locked="0"/>
    </xf>
    <xf numFmtId="0" fontId="0" fillId="9" borderId="15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23" xfId="0" applyFill="1" applyBorder="1" applyProtection="1">
      <protection locked="0"/>
    </xf>
    <xf numFmtId="0" fontId="0" fillId="9" borderId="19" xfId="0" applyFill="1" applyBorder="1" applyProtection="1">
      <protection locked="0"/>
    </xf>
    <xf numFmtId="0" fontId="0" fillId="9" borderId="17" xfId="0" applyFill="1" applyBorder="1" applyProtection="1">
      <protection locked="0"/>
    </xf>
    <xf numFmtId="0" fontId="10" fillId="9" borderId="3" xfId="0" applyFont="1" applyFill="1" applyBorder="1" applyProtection="1"/>
    <xf numFmtId="0" fontId="10" fillId="9" borderId="5" xfId="0" applyFont="1" applyFill="1" applyBorder="1" applyProtection="1"/>
    <xf numFmtId="0" fontId="10" fillId="9" borderId="6" xfId="0" applyFont="1" applyFill="1" applyBorder="1" applyProtection="1">
      <protection locked="0"/>
    </xf>
    <xf numFmtId="0" fontId="10" fillId="9" borderId="7" xfId="0" applyFont="1" applyFill="1" applyBorder="1" applyProtection="1">
      <protection locked="0"/>
    </xf>
    <xf numFmtId="0" fontId="10" fillId="9" borderId="8" xfId="0" applyFont="1" applyFill="1" applyBorder="1" applyProtection="1">
      <protection locked="0"/>
    </xf>
    <xf numFmtId="0" fontId="10" fillId="9" borderId="10" xfId="0" applyFont="1" applyFill="1" applyBorder="1" applyProtection="1">
      <protection locked="0"/>
    </xf>
    <xf numFmtId="0" fontId="5" fillId="8" borderId="0" xfId="0" applyFont="1" applyFill="1" applyBorder="1" applyProtection="1"/>
    <xf numFmtId="0" fontId="5" fillId="8" borderId="0" xfId="0" applyFont="1" applyFill="1" applyProtection="1"/>
    <xf numFmtId="0" fontId="0" fillId="8" borderId="0" xfId="0" applyFill="1" applyBorder="1" applyProtection="1"/>
    <xf numFmtId="0" fontId="5" fillId="8" borderId="4" xfId="0" applyFont="1" applyFill="1" applyBorder="1" applyAlignment="1" applyProtection="1"/>
    <xf numFmtId="0" fontId="5" fillId="8" borderId="0" xfId="0" applyFont="1" applyFill="1" applyBorder="1" applyAlignment="1" applyProtection="1">
      <alignment horizontal="center"/>
    </xf>
    <xf numFmtId="2" fontId="5" fillId="8" borderId="0" xfId="0" applyNumberFormat="1" applyFont="1" applyFill="1" applyBorder="1" applyAlignment="1" applyProtection="1"/>
    <xf numFmtId="2" fontId="5" fillId="8" borderId="32" xfId="0" applyNumberFormat="1" applyFont="1" applyFill="1" applyBorder="1" applyAlignment="1" applyProtection="1"/>
    <xf numFmtId="2" fontId="5" fillId="8" borderId="1" xfId="0" applyNumberFormat="1" applyFont="1" applyFill="1" applyBorder="1" applyAlignment="1" applyProtection="1"/>
    <xf numFmtId="2" fontId="5" fillId="8" borderId="21" xfId="0" applyNumberFormat="1" applyFont="1" applyFill="1" applyBorder="1" applyAlignment="1" applyProtection="1"/>
    <xf numFmtId="2" fontId="5" fillId="8" borderId="37" xfId="0" applyNumberFormat="1" applyFont="1" applyFill="1" applyBorder="1" applyAlignment="1" applyProtection="1"/>
    <xf numFmtId="0" fontId="5" fillId="8" borderId="0" xfId="0" applyFont="1" applyFill="1" applyBorder="1" applyAlignment="1" applyProtection="1"/>
    <xf numFmtId="165" fontId="5" fillId="8" borderId="0" xfId="0" applyNumberFormat="1" applyFont="1" applyFill="1" applyBorder="1" applyAlignment="1" applyProtection="1"/>
    <xf numFmtId="0" fontId="5" fillId="8" borderId="7" xfId="0" applyFont="1" applyFill="1" applyBorder="1" applyAlignment="1" applyProtection="1">
      <alignment horizontal="center"/>
    </xf>
    <xf numFmtId="0" fontId="5" fillId="8" borderId="9" xfId="0" applyFont="1" applyFill="1" applyBorder="1" applyAlignment="1" applyProtection="1">
      <alignment horizontal="center"/>
    </xf>
    <xf numFmtId="2" fontId="5" fillId="8" borderId="9" xfId="0" applyNumberFormat="1" applyFont="1" applyFill="1" applyBorder="1" applyAlignment="1" applyProtection="1"/>
    <xf numFmtId="2" fontId="5" fillId="8" borderId="33" xfId="0" applyNumberFormat="1" applyFont="1" applyFill="1" applyBorder="1" applyAlignment="1" applyProtection="1"/>
    <xf numFmtId="2" fontId="5" fillId="8" borderId="20" xfId="0" applyNumberFormat="1" applyFont="1" applyFill="1" applyBorder="1" applyAlignment="1" applyProtection="1"/>
    <xf numFmtId="2" fontId="5" fillId="8" borderId="35" xfId="0" applyNumberFormat="1" applyFont="1" applyFill="1" applyBorder="1" applyAlignment="1" applyProtection="1"/>
    <xf numFmtId="2" fontId="5" fillId="8" borderId="38" xfId="0" applyNumberFormat="1" applyFont="1" applyFill="1" applyBorder="1" applyAlignment="1" applyProtection="1"/>
    <xf numFmtId="0" fontId="5" fillId="8" borderId="9" xfId="0" applyFont="1" applyFill="1" applyBorder="1" applyAlignment="1" applyProtection="1"/>
    <xf numFmtId="165" fontId="5" fillId="8" borderId="9" xfId="0" applyNumberFormat="1" applyFont="1" applyFill="1" applyBorder="1" applyAlignment="1" applyProtection="1"/>
    <xf numFmtId="0" fontId="5" fillId="8" borderId="10" xfId="0" applyFont="1" applyFill="1" applyBorder="1" applyAlignment="1" applyProtection="1">
      <alignment horizontal="center"/>
    </xf>
    <xf numFmtId="0" fontId="0" fillId="9" borderId="14" xfId="0" applyFill="1" applyBorder="1" applyProtection="1">
      <protection locked="0"/>
    </xf>
    <xf numFmtId="0" fontId="0" fillId="9" borderId="22" xfId="0" applyFill="1" applyBorder="1" applyProtection="1">
      <protection locked="0"/>
    </xf>
    <xf numFmtId="0" fontId="0" fillId="9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19" xfId="0" applyFill="1" applyBorder="1" applyProtection="1"/>
    <xf numFmtId="0" fontId="5" fillId="8" borderId="3" xfId="0" applyFont="1" applyFill="1" applyBorder="1" applyAlignment="1" applyProtection="1"/>
    <xf numFmtId="0" fontId="5" fillId="8" borderId="4" xfId="0" applyFont="1" applyFill="1" applyBorder="1" applyAlignment="1" applyProtection="1">
      <alignment horizontal="center"/>
    </xf>
    <xf numFmtId="0" fontId="5" fillId="8" borderId="30" xfId="0" applyFont="1" applyFill="1" applyBorder="1" applyAlignment="1" applyProtection="1">
      <alignment horizontal="center"/>
    </xf>
    <xf numFmtId="0" fontId="5" fillId="8" borderId="31" xfId="0" applyFont="1" applyFill="1" applyBorder="1" applyAlignment="1" applyProtection="1">
      <alignment horizontal="center"/>
    </xf>
    <xf numFmtId="0" fontId="5" fillId="8" borderId="34" xfId="0" applyFont="1" applyFill="1" applyBorder="1" applyAlignment="1" applyProtection="1">
      <alignment horizontal="center"/>
    </xf>
    <xf numFmtId="0" fontId="5" fillId="8" borderId="36" xfId="0" applyFont="1" applyFill="1" applyBorder="1" applyAlignment="1" applyProtection="1">
      <alignment horizontal="center"/>
    </xf>
    <xf numFmtId="0" fontId="5" fillId="8" borderId="5" xfId="0" applyFont="1" applyFill="1" applyBorder="1" applyAlignment="1" applyProtection="1">
      <alignment horizontal="center"/>
    </xf>
    <xf numFmtId="0" fontId="5" fillId="8" borderId="6" xfId="0" applyFont="1" applyFill="1" applyBorder="1" applyAlignment="1" applyProtection="1"/>
    <xf numFmtId="1" fontId="5" fillId="8" borderId="0" xfId="0" applyNumberFormat="1" applyFont="1" applyFill="1" applyBorder="1" applyAlignment="1" applyProtection="1"/>
    <xf numFmtId="0" fontId="5" fillId="8" borderId="8" xfId="0" applyFont="1" applyFill="1" applyBorder="1" applyAlignment="1" applyProtection="1"/>
    <xf numFmtId="1" fontId="5" fillId="8" borderId="9" xfId="0" applyNumberFormat="1" applyFont="1" applyFill="1" applyBorder="1" applyAlignment="1" applyProtection="1"/>
    <xf numFmtId="0" fontId="0" fillId="9" borderId="12" xfId="0" applyFill="1" applyBorder="1" applyProtection="1">
      <protection locked="0"/>
    </xf>
    <xf numFmtId="0" fontId="0" fillId="9" borderId="13" xfId="0" applyFill="1" applyBorder="1" applyProtection="1">
      <protection locked="0"/>
    </xf>
    <xf numFmtId="0" fontId="0" fillId="4" borderId="0" xfId="0" applyFill="1" applyAlignment="1" applyProtection="1">
      <protection locked="0"/>
    </xf>
    <xf numFmtId="164" fontId="0" fillId="2" borderId="0" xfId="0" applyNumberFormat="1" applyFill="1" applyProtection="1">
      <protection locked="0"/>
    </xf>
    <xf numFmtId="0" fontId="0" fillId="2" borderId="1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4" fillId="9" borderId="0" xfId="0" applyFont="1" applyFill="1" applyBorder="1" applyAlignment="1" applyProtection="1">
      <alignment horizontal="center"/>
      <protection locked="0"/>
    </xf>
    <xf numFmtId="0" fontId="4" fillId="9" borderId="19" xfId="0" applyFont="1" applyFill="1" applyBorder="1" applyAlignment="1" applyProtection="1">
      <alignment horizontal="center"/>
      <protection locked="0"/>
    </xf>
    <xf numFmtId="0" fontId="0" fillId="9" borderId="5" xfId="0" applyFill="1" applyBorder="1" applyProtection="1"/>
    <xf numFmtId="0" fontId="0" fillId="0" borderId="16" xfId="0" applyFill="1" applyBorder="1" applyProtection="1"/>
    <xf numFmtId="0" fontId="10" fillId="9" borderId="18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7" fillId="10" borderId="0" xfId="0" applyFont="1" applyFill="1" applyAlignment="1" applyProtection="1">
      <protection locked="0"/>
    </xf>
    <xf numFmtId="0" fontId="11" fillId="4" borderId="0" xfId="0" applyFont="1" applyFill="1" applyProtection="1"/>
    <xf numFmtId="0" fontId="6" fillId="0" borderId="0" xfId="1" applyAlignment="1" applyProtection="1"/>
    <xf numFmtId="0" fontId="7" fillId="11" borderId="0" xfId="0" applyFont="1" applyFill="1" applyAlignment="1" applyProtection="1">
      <protection locked="0"/>
    </xf>
    <xf numFmtId="0" fontId="10" fillId="0" borderId="0" xfId="0" applyFont="1" applyFill="1"/>
    <xf numFmtId="0" fontId="12" fillId="0" borderId="0" xfId="0" applyFont="1" applyFill="1" applyAlignment="1" applyProtection="1">
      <protection locked="0"/>
    </xf>
    <xf numFmtId="0" fontId="5" fillId="8" borderId="0" xfId="0" applyFont="1" applyFill="1" applyAlignment="1" applyProtection="1"/>
    <xf numFmtId="0" fontId="0" fillId="0" borderId="0" xfId="0" applyAlignment="1" applyProtection="1">
      <protection locked="0"/>
    </xf>
    <xf numFmtId="0" fontId="8" fillId="7" borderId="6" xfId="0" applyFont="1" applyFill="1" applyBorder="1" applyAlignment="1" applyProtection="1">
      <alignment horizontal="center"/>
    </xf>
    <xf numFmtId="0" fontId="8" fillId="7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3" fillId="11" borderId="0" xfId="1" applyFont="1" applyFill="1" applyAlignment="1" applyProtection="1">
      <protection locked="0"/>
    </xf>
    <xf numFmtId="0" fontId="13" fillId="4" borderId="0" xfId="1" applyFont="1" applyFill="1" applyAlignment="1" applyProtection="1">
      <protection locked="0"/>
    </xf>
    <xf numFmtId="0" fontId="5" fillId="0" borderId="0" xfId="0" applyFont="1" applyFill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25</xdr:row>
      <xdr:rowOff>0</xdr:rowOff>
    </xdr:from>
    <xdr:to>
      <xdr:col>9</xdr:col>
      <xdr:colOff>476250</xdr:colOff>
      <xdr:row>46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4762500"/>
          <a:ext cx="5391150" cy="4171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73"/>
  <sheetViews>
    <sheetView tabSelected="1" zoomScaleNormal="100" workbookViewId="0">
      <selection sqref="A1:P1"/>
    </sheetView>
  </sheetViews>
  <sheetFormatPr defaultRowHeight="15" x14ac:dyDescent="0.25"/>
  <cols>
    <col min="1" max="1" width="14" style="19" customWidth="1"/>
    <col min="2" max="2" width="27" style="19" customWidth="1"/>
    <col min="3" max="3" width="18.28515625" style="19" customWidth="1"/>
    <col min="4" max="4" width="21" style="19" customWidth="1"/>
    <col min="5" max="5" width="17.7109375" style="19" customWidth="1"/>
    <col min="6" max="6" width="4.42578125" style="19" customWidth="1"/>
    <col min="7" max="7" width="4.85546875" style="19" customWidth="1"/>
    <col min="8" max="8" width="8.140625" style="19" customWidth="1"/>
    <col min="9" max="9" width="10.7109375" style="19" customWidth="1"/>
    <col min="10" max="10" width="4.42578125" style="19" customWidth="1"/>
    <col min="11" max="26" width="9.140625" style="19"/>
    <col min="27" max="27" width="11.5703125" style="19" bestFit="1" customWidth="1"/>
    <col min="28" max="28" width="10.5703125" style="19" bestFit="1" customWidth="1"/>
    <col min="29" max="33" width="9.140625" style="19"/>
    <col min="34" max="34" width="18" style="19" customWidth="1"/>
    <col min="35" max="35" width="21" style="19" customWidth="1"/>
    <col min="36" max="36" width="8.140625" style="19" customWidth="1"/>
    <col min="37" max="37" width="7.85546875" style="19" customWidth="1"/>
    <col min="38" max="43" width="9.140625" style="19"/>
    <col min="44" max="45" width="9.140625" style="86"/>
    <col min="46" max="16384" width="9.140625" style="19"/>
  </cols>
  <sheetData>
    <row r="1" spans="1:17" ht="26.25" x14ac:dyDescent="0.4">
      <c r="A1" s="168" t="s">
        <v>107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7" x14ac:dyDescent="0.25">
      <c r="A2" s="19" t="s">
        <v>55</v>
      </c>
      <c r="B2" s="5"/>
      <c r="E2" s="19" t="s">
        <v>0</v>
      </c>
      <c r="H2" s="84"/>
      <c r="I2" s="20"/>
      <c r="K2" s="128" t="s">
        <v>65</v>
      </c>
      <c r="L2" s="94"/>
      <c r="M2" s="94"/>
      <c r="N2" s="94"/>
      <c r="O2" s="94"/>
      <c r="P2" s="95"/>
    </row>
    <row r="3" spans="1:17" x14ac:dyDescent="0.25">
      <c r="A3" s="19" t="s">
        <v>159</v>
      </c>
      <c r="B3" s="5"/>
      <c r="E3" s="19" t="s">
        <v>2</v>
      </c>
      <c r="H3" s="5"/>
      <c r="I3" s="20"/>
      <c r="K3" s="129"/>
      <c r="L3" s="96"/>
      <c r="M3" s="96"/>
      <c r="N3" s="96"/>
      <c r="O3" s="96"/>
      <c r="P3" s="97"/>
    </row>
    <row r="4" spans="1:17" x14ac:dyDescent="0.25">
      <c r="A4" s="19" t="s">
        <v>160</v>
      </c>
      <c r="B4" s="5"/>
      <c r="E4" s="19" t="s">
        <v>1</v>
      </c>
      <c r="H4" s="5"/>
      <c r="I4" s="20"/>
      <c r="K4" s="130"/>
      <c r="L4" s="98"/>
      <c r="M4" s="98"/>
      <c r="N4" s="98"/>
      <c r="O4" s="98"/>
      <c r="P4" s="99"/>
    </row>
    <row r="5" spans="1:17" x14ac:dyDescent="0.25">
      <c r="A5" s="19" t="s">
        <v>59</v>
      </c>
      <c r="B5" s="5"/>
    </row>
    <row r="6" spans="1:17" ht="15.75" thickBot="1" x14ac:dyDescent="0.3">
      <c r="A6" s="19" t="s">
        <v>5</v>
      </c>
      <c r="K6" s="19" t="s">
        <v>18</v>
      </c>
    </row>
    <row r="7" spans="1:17" x14ac:dyDescent="0.25">
      <c r="A7" s="21" t="s">
        <v>6</v>
      </c>
      <c r="B7" s="22" t="s">
        <v>7</v>
      </c>
      <c r="C7" s="22" t="s">
        <v>8</v>
      </c>
      <c r="D7" s="22" t="s">
        <v>66</v>
      </c>
      <c r="E7" s="22" t="s">
        <v>9</v>
      </c>
      <c r="F7" s="22" t="s">
        <v>10</v>
      </c>
      <c r="G7" s="22" t="s">
        <v>12</v>
      </c>
      <c r="H7" s="22" t="s">
        <v>28</v>
      </c>
      <c r="I7" s="22" t="s">
        <v>11</v>
      </c>
      <c r="J7" s="22" t="s">
        <v>13</v>
      </c>
      <c r="K7" s="92" t="s">
        <v>80</v>
      </c>
      <c r="M7" s="23" t="s">
        <v>20</v>
      </c>
      <c r="N7" s="24" t="s">
        <v>19</v>
      </c>
      <c r="O7" s="24" t="s">
        <v>73</v>
      </c>
      <c r="P7" s="25" t="s">
        <v>74</v>
      </c>
      <c r="Q7" s="106" t="s">
        <v>179</v>
      </c>
    </row>
    <row r="8" spans="1:17" x14ac:dyDescent="0.25">
      <c r="A8" s="26">
        <v>1</v>
      </c>
      <c r="B8" s="8"/>
      <c r="C8" s="8"/>
      <c r="D8" s="71"/>
      <c r="E8" s="71"/>
      <c r="F8" s="8"/>
      <c r="G8" s="8"/>
      <c r="H8" s="4" t="e">
        <f>100*F8/G8</f>
        <v>#DIV/0!</v>
      </c>
      <c r="I8" s="83"/>
      <c r="J8" s="83"/>
      <c r="K8" s="93"/>
      <c r="M8" s="27">
        <v>1</v>
      </c>
      <c r="N8" s="8"/>
      <c r="O8" s="8"/>
      <c r="P8" s="9"/>
      <c r="Q8" s="107">
        <f>N8</f>
        <v>0</v>
      </c>
    </row>
    <row r="9" spans="1:17" x14ac:dyDescent="0.25">
      <c r="A9" s="26">
        <v>2</v>
      </c>
      <c r="B9" s="8"/>
      <c r="C9" s="8"/>
      <c r="D9" s="71"/>
      <c r="E9" s="71"/>
      <c r="F9" s="8"/>
      <c r="G9" s="8"/>
      <c r="H9" s="4" t="e">
        <f t="shared" ref="H9:H18" si="0">100*F9/G9</f>
        <v>#DIV/0!</v>
      </c>
      <c r="I9" s="83"/>
      <c r="J9" s="83"/>
      <c r="K9" s="93"/>
      <c r="M9" s="27">
        <v>2</v>
      </c>
      <c r="N9" s="8"/>
      <c r="O9" s="8"/>
      <c r="P9" s="9"/>
      <c r="Q9" s="107">
        <f>N9-N8</f>
        <v>0</v>
      </c>
    </row>
    <row r="10" spans="1:17" x14ac:dyDescent="0.25">
      <c r="A10" s="26">
        <v>3</v>
      </c>
      <c r="B10" s="8"/>
      <c r="C10" s="8"/>
      <c r="D10" s="71"/>
      <c r="E10" s="71"/>
      <c r="F10" s="8"/>
      <c r="G10" s="8"/>
      <c r="H10" s="4" t="e">
        <f t="shared" si="0"/>
        <v>#DIV/0!</v>
      </c>
      <c r="I10" s="83"/>
      <c r="J10" s="83"/>
      <c r="K10" s="93"/>
      <c r="M10" s="27">
        <v>3</v>
      </c>
      <c r="N10" s="8"/>
      <c r="O10" s="8"/>
      <c r="P10" s="9"/>
      <c r="Q10" s="107">
        <f t="shared" ref="Q10:Q17" si="1">N10-N9</f>
        <v>0</v>
      </c>
    </row>
    <row r="11" spans="1:17" x14ac:dyDescent="0.25">
      <c r="A11" s="26">
        <v>4</v>
      </c>
      <c r="B11" s="8"/>
      <c r="C11" s="8"/>
      <c r="D11" s="71"/>
      <c r="E11" s="71"/>
      <c r="F11" s="8"/>
      <c r="G11" s="8"/>
      <c r="H11" s="4" t="e">
        <f t="shared" si="0"/>
        <v>#DIV/0!</v>
      </c>
      <c r="I11" s="83"/>
      <c r="J11" s="83"/>
      <c r="K11" s="93"/>
      <c r="M11" s="27">
        <v>4</v>
      </c>
      <c r="N11" s="8"/>
      <c r="O11" s="8"/>
      <c r="P11" s="9"/>
      <c r="Q11" s="107">
        <f t="shared" si="1"/>
        <v>0</v>
      </c>
    </row>
    <row r="12" spans="1:17" x14ac:dyDescent="0.25">
      <c r="A12" s="26">
        <v>5</v>
      </c>
      <c r="B12" s="8"/>
      <c r="C12" s="8"/>
      <c r="D12" s="71"/>
      <c r="E12" s="71"/>
      <c r="F12" s="8"/>
      <c r="G12" s="8"/>
      <c r="H12" s="4" t="e">
        <f t="shared" si="0"/>
        <v>#DIV/0!</v>
      </c>
      <c r="I12" s="83"/>
      <c r="J12" s="83"/>
      <c r="K12" s="93"/>
      <c r="M12" s="27">
        <v>5</v>
      </c>
      <c r="N12" s="8"/>
      <c r="O12" s="8"/>
      <c r="P12" s="9"/>
      <c r="Q12" s="107">
        <f t="shared" si="1"/>
        <v>0</v>
      </c>
    </row>
    <row r="13" spans="1:17" x14ac:dyDescent="0.25">
      <c r="A13" s="26">
        <v>6</v>
      </c>
      <c r="B13" s="8"/>
      <c r="C13" s="8"/>
      <c r="D13" s="71"/>
      <c r="E13" s="71"/>
      <c r="F13" s="8"/>
      <c r="G13" s="8"/>
      <c r="H13" s="4" t="e">
        <f t="shared" si="0"/>
        <v>#DIV/0!</v>
      </c>
      <c r="I13" s="83"/>
      <c r="J13" s="83"/>
      <c r="K13" s="93"/>
      <c r="M13" s="27">
        <v>6</v>
      </c>
      <c r="N13" s="8"/>
      <c r="O13" s="8"/>
      <c r="P13" s="9"/>
      <c r="Q13" s="107">
        <f t="shared" si="1"/>
        <v>0</v>
      </c>
    </row>
    <row r="14" spans="1:17" x14ac:dyDescent="0.25">
      <c r="A14" s="26">
        <v>7</v>
      </c>
      <c r="B14" s="8"/>
      <c r="C14" s="8"/>
      <c r="D14" s="71"/>
      <c r="E14" s="71"/>
      <c r="F14" s="8"/>
      <c r="G14" s="8"/>
      <c r="H14" s="4" t="e">
        <f t="shared" si="0"/>
        <v>#DIV/0!</v>
      </c>
      <c r="I14" s="83"/>
      <c r="J14" s="83"/>
      <c r="K14" s="93"/>
      <c r="M14" s="27">
        <v>7</v>
      </c>
      <c r="N14" s="8"/>
      <c r="O14" s="8"/>
      <c r="P14" s="9"/>
      <c r="Q14" s="107">
        <f t="shared" si="1"/>
        <v>0</v>
      </c>
    </row>
    <row r="15" spans="1:17" x14ac:dyDescent="0.25">
      <c r="A15" s="26">
        <v>8</v>
      </c>
      <c r="B15" s="8"/>
      <c r="C15" s="8"/>
      <c r="D15" s="71"/>
      <c r="E15" s="71"/>
      <c r="F15" s="8"/>
      <c r="G15" s="8"/>
      <c r="H15" s="4" t="e">
        <f t="shared" si="0"/>
        <v>#DIV/0!</v>
      </c>
      <c r="I15" s="83"/>
      <c r="J15" s="83"/>
      <c r="K15" s="93"/>
      <c r="M15" s="27">
        <v>8</v>
      </c>
      <c r="N15" s="8"/>
      <c r="O15" s="8"/>
      <c r="P15" s="9"/>
      <c r="Q15" s="107">
        <f t="shared" si="1"/>
        <v>0</v>
      </c>
    </row>
    <row r="16" spans="1:17" x14ac:dyDescent="0.25">
      <c r="A16" s="26">
        <v>9</v>
      </c>
      <c r="B16" s="8"/>
      <c r="C16" s="8"/>
      <c r="D16" s="71"/>
      <c r="E16" s="71"/>
      <c r="F16" s="8"/>
      <c r="G16" s="8"/>
      <c r="H16" s="4" t="e">
        <f t="shared" si="0"/>
        <v>#DIV/0!</v>
      </c>
      <c r="I16" s="83"/>
      <c r="J16" s="83"/>
      <c r="K16" s="93"/>
      <c r="M16" s="27">
        <v>9</v>
      </c>
      <c r="N16" s="8"/>
      <c r="O16" s="8"/>
      <c r="P16" s="9"/>
      <c r="Q16" s="107">
        <f t="shared" si="1"/>
        <v>0</v>
      </c>
    </row>
    <row r="17" spans="1:17" x14ac:dyDescent="0.25">
      <c r="A17" s="26">
        <v>10</v>
      </c>
      <c r="B17" s="8"/>
      <c r="C17" s="8"/>
      <c r="D17" s="71"/>
      <c r="E17" s="71"/>
      <c r="F17" s="8"/>
      <c r="G17" s="8"/>
      <c r="H17" s="4" t="e">
        <f t="shared" si="0"/>
        <v>#DIV/0!</v>
      </c>
      <c r="I17" s="83"/>
      <c r="J17" s="83"/>
      <c r="K17" s="93"/>
      <c r="M17" s="27">
        <v>10</v>
      </c>
      <c r="N17" s="8"/>
      <c r="O17" s="8"/>
      <c r="P17" s="9"/>
      <c r="Q17" s="107">
        <f t="shared" si="1"/>
        <v>0</v>
      </c>
    </row>
    <row r="18" spans="1:17" x14ac:dyDescent="0.25">
      <c r="A18" s="26">
        <v>11</v>
      </c>
      <c r="B18" s="8"/>
      <c r="C18" s="8"/>
      <c r="D18" s="71"/>
      <c r="E18" s="71"/>
      <c r="F18" s="8"/>
      <c r="G18" s="8"/>
      <c r="H18" s="4" t="e">
        <f t="shared" si="0"/>
        <v>#DIV/0!</v>
      </c>
      <c r="I18" s="83"/>
      <c r="J18" s="83"/>
      <c r="K18" s="93"/>
      <c r="M18" s="28" t="s">
        <v>185</v>
      </c>
      <c r="N18" s="132">
        <f>F20</f>
        <v>0</v>
      </c>
      <c r="O18" s="13"/>
      <c r="P18" s="13"/>
      <c r="Q18" s="107">
        <f>N18-MAX(N8:N17)</f>
        <v>0</v>
      </c>
    </row>
    <row r="19" spans="1:17" ht="15.75" thickBot="1" x14ac:dyDescent="0.3">
      <c r="A19" s="29" t="s">
        <v>88</v>
      </c>
      <c r="B19" s="12"/>
      <c r="C19" s="30"/>
      <c r="D19" s="30"/>
      <c r="E19" s="31" t="s">
        <v>78</v>
      </c>
      <c r="F19" s="30">
        <f>SUM(D20:D23)</f>
        <v>0</v>
      </c>
      <c r="G19" s="30"/>
      <c r="H19" s="30"/>
      <c r="I19" s="30"/>
      <c r="J19" s="30"/>
      <c r="K19" s="32"/>
    </row>
    <row r="20" spans="1:17" ht="15.75" thickBot="1" x14ac:dyDescent="0.3">
      <c r="A20" s="33" t="s">
        <v>14</v>
      </c>
      <c r="B20" s="30"/>
      <c r="C20" s="30"/>
      <c r="D20" s="13"/>
      <c r="E20" s="34" t="s">
        <v>77</v>
      </c>
      <c r="F20" s="35">
        <f>SUM(F8:F19)</f>
        <v>0</v>
      </c>
      <c r="G20" s="36" t="s">
        <v>75</v>
      </c>
      <c r="H20" s="37">
        <f>COUNTA(C8:C18)-COUNTIF(C8:C18,"Not Out")</f>
        <v>0</v>
      </c>
      <c r="I20" s="38" t="s">
        <v>76</v>
      </c>
      <c r="J20" s="39"/>
      <c r="K20" s="32"/>
      <c r="M20" s="23" t="s">
        <v>35</v>
      </c>
      <c r="N20" s="6"/>
      <c r="O20" s="6"/>
      <c r="P20" s="7"/>
    </row>
    <row r="21" spans="1:17" ht="15.75" thickBot="1" x14ac:dyDescent="0.3">
      <c r="A21" s="33" t="s">
        <v>15</v>
      </c>
      <c r="B21" s="30"/>
      <c r="C21" s="30"/>
      <c r="D21" s="13"/>
      <c r="E21" s="40"/>
      <c r="F21" s="30"/>
      <c r="G21" s="30"/>
      <c r="H21" s="30"/>
      <c r="I21" s="30"/>
      <c r="J21" s="30"/>
      <c r="K21" s="32"/>
      <c r="M21" s="28" t="s">
        <v>36</v>
      </c>
      <c r="N21" s="10"/>
      <c r="O21" s="10"/>
      <c r="P21" s="11"/>
    </row>
    <row r="22" spans="1:17" ht="15.75" thickBot="1" x14ac:dyDescent="0.3">
      <c r="A22" s="33" t="s">
        <v>16</v>
      </c>
      <c r="B22" s="30"/>
      <c r="C22" s="30"/>
      <c r="D22" s="13"/>
      <c r="E22" s="31" t="s">
        <v>208</v>
      </c>
      <c r="F22" s="131"/>
      <c r="G22" s="30"/>
      <c r="H22" s="30"/>
      <c r="I22" s="30"/>
      <c r="J22" s="30"/>
      <c r="K22" s="32"/>
    </row>
    <row r="23" spans="1:17" ht="15.75" thickBot="1" x14ac:dyDescent="0.3">
      <c r="A23" s="41" t="s">
        <v>17</v>
      </c>
      <c r="B23" s="42"/>
      <c r="C23" s="42"/>
      <c r="D23" s="14"/>
      <c r="E23" s="42"/>
      <c r="F23" s="42"/>
      <c r="G23" s="42"/>
      <c r="H23" s="42"/>
      <c r="I23" s="42"/>
      <c r="J23" s="42"/>
      <c r="K23" s="43"/>
      <c r="M23" s="44" t="s">
        <v>50</v>
      </c>
      <c r="N23" s="45"/>
      <c r="O23" s="45"/>
      <c r="P23" s="46" t="str">
        <f>IF(F20-D22-D23-G37=0,"PASS","FAIL")</f>
        <v>PASS</v>
      </c>
    </row>
    <row r="24" spans="1:17" ht="15.75" thickBot="1" x14ac:dyDescent="0.3"/>
    <row r="25" spans="1:17" x14ac:dyDescent="0.25">
      <c r="D25" s="21" t="s">
        <v>82</v>
      </c>
      <c r="E25" s="47" t="s">
        <v>22</v>
      </c>
      <c r="F25" s="48" t="s">
        <v>23</v>
      </c>
      <c r="G25" s="48" t="s">
        <v>24</v>
      </c>
      <c r="H25" s="48" t="s">
        <v>25</v>
      </c>
      <c r="I25" s="48" t="s">
        <v>26</v>
      </c>
      <c r="J25" s="49" t="s">
        <v>27</v>
      </c>
      <c r="K25" s="22" t="s">
        <v>29</v>
      </c>
      <c r="L25" s="50" t="s">
        <v>30</v>
      </c>
      <c r="M25" s="100" t="s">
        <v>80</v>
      </c>
      <c r="N25" s="101" t="s">
        <v>79</v>
      </c>
      <c r="P25" s="106" t="s">
        <v>186</v>
      </c>
    </row>
    <row r="26" spans="1:17" x14ac:dyDescent="0.25">
      <c r="B26" s="51" t="s">
        <v>31</v>
      </c>
      <c r="D26" s="73"/>
      <c r="E26" s="74"/>
      <c r="F26" s="75"/>
      <c r="G26" s="75"/>
      <c r="H26" s="75"/>
      <c r="I26" s="76"/>
      <c r="J26" s="77"/>
      <c r="K26" s="30" t="e">
        <f>G26/H26</f>
        <v>#DIV/0!</v>
      </c>
      <c r="L26" s="32" t="e">
        <f>G26/E26</f>
        <v>#DIV/0!</v>
      </c>
      <c r="M26" s="102"/>
      <c r="N26" s="103"/>
      <c r="P26" s="107" t="e">
        <f>100*(F20+'2nd Innings'!F20)/((IF(H20="10",210,(E37*6))+(IF('2nd Innings'!H20="10",210,('2nd Innings'!E37*6)))))</f>
        <v>#DIV/0!</v>
      </c>
    </row>
    <row r="27" spans="1:17" x14ac:dyDescent="0.25">
      <c r="B27" s="15"/>
      <c r="D27" s="73"/>
      <c r="E27" s="74"/>
      <c r="F27" s="75"/>
      <c r="G27" s="75"/>
      <c r="H27" s="75"/>
      <c r="I27" s="76"/>
      <c r="J27" s="77"/>
      <c r="K27" s="30" t="e">
        <f t="shared" ref="K27:K36" si="2">G27/H27</f>
        <v>#DIV/0!</v>
      </c>
      <c r="L27" s="32" t="e">
        <f t="shared" ref="L27:L36" si="3">G27/E27</f>
        <v>#DIV/0!</v>
      </c>
      <c r="M27" s="102"/>
      <c r="N27" s="103"/>
      <c r="P27" s="107"/>
    </row>
    <row r="28" spans="1:17" x14ac:dyDescent="0.25">
      <c r="B28" s="16"/>
      <c r="D28" s="73"/>
      <c r="E28" s="74"/>
      <c r="F28" s="75"/>
      <c r="G28" s="75"/>
      <c r="H28" s="75"/>
      <c r="I28" s="76"/>
      <c r="J28" s="77"/>
      <c r="K28" s="30" t="e">
        <f t="shared" si="2"/>
        <v>#DIV/0!</v>
      </c>
      <c r="L28" s="32" t="e">
        <f t="shared" si="3"/>
        <v>#DIV/0!</v>
      </c>
      <c r="M28" s="102"/>
      <c r="N28" s="103"/>
      <c r="P28" s="107" t="s">
        <v>187</v>
      </c>
    </row>
    <row r="29" spans="1:17" x14ac:dyDescent="0.25">
      <c r="D29" s="73"/>
      <c r="E29" s="74"/>
      <c r="F29" s="75"/>
      <c r="G29" s="75"/>
      <c r="H29" s="75"/>
      <c r="I29" s="76"/>
      <c r="J29" s="77"/>
      <c r="K29" s="30" t="e">
        <f t="shared" si="2"/>
        <v>#DIV/0!</v>
      </c>
      <c r="L29" s="32" t="e">
        <f t="shared" si="3"/>
        <v>#DIV/0!</v>
      </c>
      <c r="M29" s="102"/>
      <c r="N29" s="103"/>
      <c r="P29" s="107">
        <f>(F20+'2nd Innings'!F20)</f>
        <v>0</v>
      </c>
    </row>
    <row r="30" spans="1:17" x14ac:dyDescent="0.25">
      <c r="B30" s="51" t="s">
        <v>32</v>
      </c>
      <c r="D30" s="73"/>
      <c r="E30" s="74"/>
      <c r="F30" s="75"/>
      <c r="G30" s="75"/>
      <c r="H30" s="75"/>
      <c r="I30" s="76"/>
      <c r="J30" s="77"/>
      <c r="K30" s="30" t="e">
        <f t="shared" si="2"/>
        <v>#DIV/0!</v>
      </c>
      <c r="L30" s="32" t="e">
        <f t="shared" si="3"/>
        <v>#DIV/0!</v>
      </c>
      <c r="M30" s="102"/>
      <c r="N30" s="103"/>
      <c r="P30" s="107"/>
    </row>
    <row r="31" spans="1:17" x14ac:dyDescent="0.25">
      <c r="B31" s="144"/>
      <c r="D31" s="73"/>
      <c r="E31" s="74"/>
      <c r="F31" s="75"/>
      <c r="G31" s="75"/>
      <c r="H31" s="75"/>
      <c r="I31" s="76"/>
      <c r="J31" s="77"/>
      <c r="K31" s="30" t="e">
        <f t="shared" si="2"/>
        <v>#DIV/0!</v>
      </c>
      <c r="L31" s="32" t="e">
        <f t="shared" si="3"/>
        <v>#DIV/0!</v>
      </c>
      <c r="M31" s="102"/>
      <c r="N31" s="103"/>
      <c r="P31" s="107" t="s">
        <v>198</v>
      </c>
    </row>
    <row r="32" spans="1:17" x14ac:dyDescent="0.25">
      <c r="B32" s="145"/>
      <c r="D32" s="73"/>
      <c r="E32" s="74"/>
      <c r="F32" s="75"/>
      <c r="G32" s="75"/>
      <c r="H32" s="75"/>
      <c r="I32" s="76"/>
      <c r="J32" s="77"/>
      <c r="K32" s="30" t="e">
        <f t="shared" si="2"/>
        <v>#DIV/0!</v>
      </c>
      <c r="L32" s="32" t="e">
        <f t="shared" si="3"/>
        <v>#DIV/0!</v>
      </c>
      <c r="M32" s="102"/>
      <c r="N32" s="103"/>
      <c r="P32" s="107" t="e">
        <f>P26*6/100</f>
        <v>#DIV/0!</v>
      </c>
    </row>
    <row r="33" spans="1:14" x14ac:dyDescent="0.25">
      <c r="D33" s="73"/>
      <c r="E33" s="74"/>
      <c r="F33" s="75"/>
      <c r="G33" s="75"/>
      <c r="H33" s="75"/>
      <c r="I33" s="76"/>
      <c r="J33" s="77"/>
      <c r="K33" s="30" t="e">
        <f t="shared" si="2"/>
        <v>#DIV/0!</v>
      </c>
      <c r="L33" s="32" t="e">
        <f t="shared" si="3"/>
        <v>#DIV/0!</v>
      </c>
      <c r="M33" s="102"/>
      <c r="N33" s="103"/>
    </row>
    <row r="34" spans="1:14" x14ac:dyDescent="0.25">
      <c r="B34" s="23" t="s">
        <v>33</v>
      </c>
      <c r="C34" s="70"/>
      <c r="D34" s="73"/>
      <c r="E34" s="74"/>
      <c r="F34" s="75"/>
      <c r="G34" s="75"/>
      <c r="H34" s="75"/>
      <c r="I34" s="76"/>
      <c r="J34" s="77"/>
      <c r="K34" s="30" t="e">
        <f t="shared" si="2"/>
        <v>#DIV/0!</v>
      </c>
      <c r="L34" s="32" t="e">
        <f t="shared" si="3"/>
        <v>#DIV/0!</v>
      </c>
      <c r="M34" s="102"/>
      <c r="N34" s="103"/>
    </row>
    <row r="35" spans="1:14" x14ac:dyDescent="0.25">
      <c r="B35" s="28" t="s">
        <v>81</v>
      </c>
      <c r="C35" s="72"/>
      <c r="D35" s="73"/>
      <c r="E35" s="74"/>
      <c r="F35" s="75"/>
      <c r="G35" s="75"/>
      <c r="H35" s="75"/>
      <c r="I35" s="76"/>
      <c r="J35" s="77"/>
      <c r="K35" s="30" t="e">
        <f t="shared" si="2"/>
        <v>#DIV/0!</v>
      </c>
      <c r="L35" s="32" t="e">
        <f t="shared" si="3"/>
        <v>#DIV/0!</v>
      </c>
      <c r="M35" s="102"/>
      <c r="N35" s="103"/>
    </row>
    <row r="36" spans="1:14" ht="15.75" thickBot="1" x14ac:dyDescent="0.3">
      <c r="D36" s="78"/>
      <c r="E36" s="79"/>
      <c r="F36" s="80"/>
      <c r="G36" s="80"/>
      <c r="H36" s="80"/>
      <c r="I36" s="81"/>
      <c r="J36" s="82"/>
      <c r="K36" s="42" t="e">
        <f t="shared" si="2"/>
        <v>#DIV/0!</v>
      </c>
      <c r="L36" s="43" t="e">
        <f t="shared" si="3"/>
        <v>#DIV/0!</v>
      </c>
      <c r="M36" s="104"/>
      <c r="N36" s="105"/>
    </row>
    <row r="37" spans="1:14" x14ac:dyDescent="0.25">
      <c r="D37" s="19" t="s">
        <v>49</v>
      </c>
      <c r="E37" s="19">
        <f t="shared" ref="E37:J37" si="4">SUM(E26:E36)</f>
        <v>0</v>
      </c>
      <c r="F37" s="86">
        <f t="shared" si="4"/>
        <v>0</v>
      </c>
      <c r="G37" s="86">
        <f t="shared" si="4"/>
        <v>0</v>
      </c>
      <c r="H37" s="86">
        <f t="shared" si="4"/>
        <v>0</v>
      </c>
      <c r="I37" s="52">
        <f t="shared" si="4"/>
        <v>0</v>
      </c>
      <c r="J37" s="53">
        <f t="shared" si="4"/>
        <v>0</v>
      </c>
    </row>
    <row r="38" spans="1:14" ht="17.25" customHeight="1" x14ac:dyDescent="0.25"/>
    <row r="39" spans="1:14" x14ac:dyDescent="0.25">
      <c r="A39" s="87" t="s">
        <v>37</v>
      </c>
      <c r="B39" s="87" t="s">
        <v>1</v>
      </c>
      <c r="C39" s="87" t="s">
        <v>55</v>
      </c>
      <c r="D39" s="87" t="s">
        <v>188</v>
      </c>
    </row>
    <row r="40" spans="1:14" x14ac:dyDescent="0.25">
      <c r="A40" s="88" t="s">
        <v>38</v>
      </c>
      <c r="B40" s="88" t="s">
        <v>54</v>
      </c>
      <c r="C40" s="88" t="s">
        <v>56</v>
      </c>
      <c r="D40" s="87">
        <v>420</v>
      </c>
    </row>
    <row r="41" spans="1:14" x14ac:dyDescent="0.25">
      <c r="A41" s="87" t="s">
        <v>39</v>
      </c>
      <c r="B41" s="87" t="s">
        <v>51</v>
      </c>
      <c r="C41" s="87" t="s">
        <v>57</v>
      </c>
      <c r="D41" s="87">
        <v>240</v>
      </c>
    </row>
    <row r="42" spans="1:14" x14ac:dyDescent="0.25">
      <c r="A42" s="87" t="s">
        <v>40</v>
      </c>
      <c r="B42" s="87"/>
      <c r="C42" s="87" t="s">
        <v>58</v>
      </c>
      <c r="D42" s="87"/>
    </row>
    <row r="43" spans="1:14" x14ac:dyDescent="0.25">
      <c r="A43" s="87" t="s">
        <v>41</v>
      </c>
      <c r="B43" s="87"/>
      <c r="C43" s="87"/>
      <c r="D43" s="87"/>
    </row>
    <row r="44" spans="1:14" x14ac:dyDescent="0.25">
      <c r="A44" s="87" t="s">
        <v>42</v>
      </c>
      <c r="B44" s="87" t="s">
        <v>59</v>
      </c>
      <c r="C44" s="89" t="s">
        <v>8</v>
      </c>
      <c r="D44" s="90" t="s">
        <v>208</v>
      </c>
    </row>
    <row r="45" spans="1:14" x14ac:dyDescent="0.25">
      <c r="A45" s="87" t="s">
        <v>43</v>
      </c>
      <c r="B45" s="88" t="s">
        <v>60</v>
      </c>
      <c r="C45" s="90" t="s">
        <v>21</v>
      </c>
      <c r="D45" s="90" t="s">
        <v>25</v>
      </c>
    </row>
    <row r="46" spans="1:14" x14ac:dyDescent="0.25">
      <c r="A46" s="87" t="s">
        <v>83</v>
      </c>
      <c r="B46" s="87" t="s">
        <v>44</v>
      </c>
      <c r="C46" s="90" t="s">
        <v>52</v>
      </c>
      <c r="D46" s="90" t="s">
        <v>207</v>
      </c>
    </row>
    <row r="47" spans="1:14" x14ac:dyDescent="0.25">
      <c r="A47" s="87" t="s">
        <v>44</v>
      </c>
      <c r="B47" s="87" t="s">
        <v>573</v>
      </c>
      <c r="C47" s="87" t="s">
        <v>486</v>
      </c>
      <c r="D47" s="90" t="s">
        <v>209</v>
      </c>
    </row>
    <row r="48" spans="1:14" x14ac:dyDescent="0.25">
      <c r="A48" s="87" t="s">
        <v>276</v>
      </c>
      <c r="B48" s="87" t="s">
        <v>62</v>
      </c>
      <c r="C48" s="87" t="s">
        <v>67</v>
      </c>
      <c r="D48" s="90" t="s">
        <v>210</v>
      </c>
    </row>
    <row r="49" spans="1:69" x14ac:dyDescent="0.25">
      <c r="A49" s="87" t="s">
        <v>45</v>
      </c>
      <c r="B49" s="87" t="s">
        <v>63</v>
      </c>
      <c r="C49" s="87" t="s">
        <v>68</v>
      </c>
      <c r="D49" s="87"/>
    </row>
    <row r="50" spans="1:69" x14ac:dyDescent="0.25">
      <c r="A50" s="87" t="s">
        <v>85</v>
      </c>
      <c r="B50" s="87" t="s">
        <v>64</v>
      </c>
      <c r="C50" s="87" t="s">
        <v>53</v>
      </c>
      <c r="D50" s="87"/>
    </row>
    <row r="51" spans="1:69" x14ac:dyDescent="0.25">
      <c r="A51" s="87" t="s">
        <v>213</v>
      </c>
      <c r="B51" s="87"/>
      <c r="C51" s="87" t="s">
        <v>69</v>
      </c>
      <c r="D51" s="87"/>
    </row>
    <row r="52" spans="1:69" x14ac:dyDescent="0.25">
      <c r="A52" s="87" t="s">
        <v>87</v>
      </c>
      <c r="B52" s="87"/>
      <c r="C52" s="87" t="s">
        <v>70</v>
      </c>
      <c r="D52" s="87"/>
    </row>
    <row r="53" spans="1:69" x14ac:dyDescent="0.25">
      <c r="A53" s="87" t="s">
        <v>46</v>
      </c>
      <c r="B53" s="87"/>
      <c r="C53" s="87" t="s">
        <v>71</v>
      </c>
      <c r="D53" s="87"/>
    </row>
    <row r="54" spans="1:69" x14ac:dyDescent="0.25">
      <c r="A54" s="87" t="s">
        <v>47</v>
      </c>
      <c r="B54" s="87"/>
      <c r="C54" s="87" t="s">
        <v>72</v>
      </c>
      <c r="D54" s="87"/>
    </row>
    <row r="55" spans="1:69" x14ac:dyDescent="0.25">
      <c r="A55" s="87" t="s">
        <v>48</v>
      </c>
      <c r="B55" s="87"/>
      <c r="C55" s="87"/>
      <c r="D55" s="87"/>
    </row>
    <row r="57" spans="1:69" x14ac:dyDescent="0.25">
      <c r="A57" s="54" t="s">
        <v>38</v>
      </c>
      <c r="B57" s="161" t="s">
        <v>39</v>
      </c>
      <c r="C57" s="161" t="s">
        <v>40</v>
      </c>
      <c r="D57" s="54" t="s">
        <v>41</v>
      </c>
      <c r="E57" s="161" t="s">
        <v>42</v>
      </c>
      <c r="F57" s="161" t="s">
        <v>43</v>
      </c>
      <c r="G57" s="161" t="s">
        <v>83</v>
      </c>
      <c r="H57" s="161" t="s">
        <v>44</v>
      </c>
      <c r="I57" s="161" t="s">
        <v>276</v>
      </c>
      <c r="J57" s="161" t="s">
        <v>45</v>
      </c>
      <c r="K57" s="161" t="s">
        <v>85</v>
      </c>
      <c r="L57" s="161" t="s">
        <v>213</v>
      </c>
      <c r="M57" s="161" t="s">
        <v>87</v>
      </c>
      <c r="N57" s="161" t="s">
        <v>46</v>
      </c>
      <c r="O57" s="161" t="s">
        <v>47</v>
      </c>
      <c r="P57" s="161" t="s">
        <v>48</v>
      </c>
    </row>
    <row r="58" spans="1:69" x14ac:dyDescent="0.25">
      <c r="A58" s="163" t="s">
        <v>464</v>
      </c>
      <c r="B58" s="163" t="s">
        <v>414</v>
      </c>
      <c r="C58" s="163" t="s">
        <v>582</v>
      </c>
      <c r="D58" s="163" t="s">
        <v>436</v>
      </c>
      <c r="E58" s="163" t="s">
        <v>615</v>
      </c>
      <c r="F58" s="163" t="s">
        <v>628</v>
      </c>
      <c r="G58" s="163" t="s">
        <v>602</v>
      </c>
      <c r="H58" s="163" t="s">
        <v>398</v>
      </c>
      <c r="I58" s="163" t="s">
        <v>321</v>
      </c>
      <c r="J58" s="163" t="s">
        <v>259</v>
      </c>
      <c r="K58" s="163" t="s">
        <v>303</v>
      </c>
      <c r="L58" s="163" t="s">
        <v>280</v>
      </c>
      <c r="M58" s="163" t="s">
        <v>575</v>
      </c>
      <c r="N58" s="163" t="s">
        <v>363</v>
      </c>
      <c r="O58" s="163" t="s">
        <v>507</v>
      </c>
      <c r="P58" s="163" t="s">
        <v>235</v>
      </c>
      <c r="Q58" s="185"/>
      <c r="R58" s="57"/>
      <c r="S58" s="3"/>
      <c r="T58" s="3"/>
      <c r="U58" s="56"/>
      <c r="V58" s="56"/>
      <c r="W58" s="56"/>
      <c r="X58" s="56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</row>
    <row r="59" spans="1:69" x14ac:dyDescent="0.25">
      <c r="A59" s="163" t="s">
        <v>477</v>
      </c>
      <c r="B59" s="163" t="s">
        <v>415</v>
      </c>
      <c r="C59" s="163" t="s">
        <v>346</v>
      </c>
      <c r="D59" s="163" t="s">
        <v>597</v>
      </c>
      <c r="E59" s="163" t="s">
        <v>627</v>
      </c>
      <c r="F59" s="163" t="s">
        <v>328</v>
      </c>
      <c r="G59" s="163" t="s">
        <v>229</v>
      </c>
      <c r="H59" s="163" t="s">
        <v>399</v>
      </c>
      <c r="I59" s="163" t="s">
        <v>546</v>
      </c>
      <c r="J59" s="163" t="s">
        <v>270</v>
      </c>
      <c r="K59" s="163" t="s">
        <v>305</v>
      </c>
      <c r="L59" s="163" t="s">
        <v>283</v>
      </c>
      <c r="M59" s="163" t="s">
        <v>622</v>
      </c>
      <c r="N59" s="163" t="s">
        <v>364</v>
      </c>
      <c r="O59" s="163" t="s">
        <v>539</v>
      </c>
      <c r="P59" s="163" t="s">
        <v>238</v>
      </c>
      <c r="Q59" s="185"/>
      <c r="R59" s="57"/>
      <c r="S59" s="3"/>
      <c r="T59" s="3"/>
      <c r="U59" s="56"/>
      <c r="V59" s="3"/>
      <c r="W59" s="56"/>
      <c r="X59" s="56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</row>
    <row r="60" spans="1:69" x14ac:dyDescent="0.25">
      <c r="A60" s="163" t="s">
        <v>476</v>
      </c>
      <c r="B60" s="163" t="s">
        <v>612</v>
      </c>
      <c r="C60" s="163" t="s">
        <v>583</v>
      </c>
      <c r="D60" s="163" t="s">
        <v>443</v>
      </c>
      <c r="E60" s="163" t="s">
        <v>630</v>
      </c>
      <c r="F60" s="163" t="s">
        <v>631</v>
      </c>
      <c r="G60" s="163" t="s">
        <v>218</v>
      </c>
      <c r="H60" s="163" t="s">
        <v>400</v>
      </c>
      <c r="I60" s="163" t="s">
        <v>547</v>
      </c>
      <c r="J60" s="163" t="s">
        <v>338</v>
      </c>
      <c r="K60" s="163" t="s">
        <v>297</v>
      </c>
      <c r="L60" s="163" t="s">
        <v>286</v>
      </c>
      <c r="M60" s="163" t="s">
        <v>629</v>
      </c>
      <c r="N60" s="163" t="s">
        <v>365</v>
      </c>
      <c r="O60" s="163" t="s">
        <v>508</v>
      </c>
      <c r="P60" s="163" t="s">
        <v>249</v>
      </c>
      <c r="Q60" s="185"/>
      <c r="R60" s="57"/>
      <c r="S60" s="3"/>
      <c r="T60" s="3"/>
      <c r="U60" s="56"/>
      <c r="V60" s="56"/>
      <c r="W60" s="56"/>
      <c r="X60" s="56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</row>
    <row r="61" spans="1:69" x14ac:dyDescent="0.25">
      <c r="A61" s="163" t="s">
        <v>475</v>
      </c>
      <c r="B61" s="163" t="s">
        <v>416</v>
      </c>
      <c r="C61" s="163" t="s">
        <v>584</v>
      </c>
      <c r="D61" s="163" t="s">
        <v>447</v>
      </c>
      <c r="E61" s="163" t="s">
        <v>632</v>
      </c>
      <c r="F61" s="163" t="s">
        <v>633</v>
      </c>
      <c r="G61" s="163" t="s">
        <v>217</v>
      </c>
      <c r="H61" s="163" t="s">
        <v>401</v>
      </c>
      <c r="I61" s="163" t="s">
        <v>548</v>
      </c>
      <c r="J61" s="163" t="s">
        <v>260</v>
      </c>
      <c r="K61" s="163" t="s">
        <v>296</v>
      </c>
      <c r="L61" s="163" t="s">
        <v>536</v>
      </c>
      <c r="M61" s="163" t="s">
        <v>541</v>
      </c>
      <c r="N61" s="163" t="s">
        <v>366</v>
      </c>
      <c r="O61" s="163" t="s">
        <v>509</v>
      </c>
      <c r="P61" s="163" t="s">
        <v>252</v>
      </c>
      <c r="Q61" s="185"/>
      <c r="R61" s="57"/>
      <c r="S61" s="3"/>
      <c r="T61" s="3"/>
      <c r="U61" s="56"/>
      <c r="V61" s="56"/>
      <c r="W61" s="56"/>
      <c r="X61" s="56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</row>
    <row r="62" spans="1:69" x14ac:dyDescent="0.25">
      <c r="A62" s="163" t="s">
        <v>472</v>
      </c>
      <c r="B62" s="163" t="s">
        <v>417</v>
      </c>
      <c r="C62" s="163" t="s">
        <v>347</v>
      </c>
      <c r="D62" s="163" t="s">
        <v>437</v>
      </c>
      <c r="E62" s="163" t="s">
        <v>634</v>
      </c>
      <c r="F62" s="163" t="s">
        <v>635</v>
      </c>
      <c r="G62" s="163" t="s">
        <v>227</v>
      </c>
      <c r="H62" s="163" t="s">
        <v>402</v>
      </c>
      <c r="I62" s="163" t="s">
        <v>549</v>
      </c>
      <c r="J62" s="163" t="s">
        <v>261</v>
      </c>
      <c r="K62" s="163" t="s">
        <v>301</v>
      </c>
      <c r="L62" s="163" t="s">
        <v>334</v>
      </c>
      <c r="M62" s="163" t="s">
        <v>524</v>
      </c>
      <c r="N62" s="163" t="s">
        <v>367</v>
      </c>
      <c r="O62" s="163" t="s">
        <v>253</v>
      </c>
      <c r="P62" s="163" t="s">
        <v>233</v>
      </c>
      <c r="Q62" s="185"/>
      <c r="R62" s="57"/>
      <c r="S62" s="3"/>
      <c r="T62" s="3"/>
      <c r="U62" s="56"/>
      <c r="V62" s="3"/>
      <c r="W62" s="56"/>
      <c r="X62" s="56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</row>
    <row r="63" spans="1:69" x14ac:dyDescent="0.25">
      <c r="A63" s="163" t="s">
        <v>467</v>
      </c>
      <c r="B63" s="163" t="s">
        <v>418</v>
      </c>
      <c r="C63" s="163" t="s">
        <v>585</v>
      </c>
      <c r="D63" s="163" t="s">
        <v>456</v>
      </c>
      <c r="E63" s="163" t="s">
        <v>637</v>
      </c>
      <c r="F63" s="163" t="s">
        <v>327</v>
      </c>
      <c r="G63" s="163" t="s">
        <v>219</v>
      </c>
      <c r="H63" s="163" t="s">
        <v>403</v>
      </c>
      <c r="I63" s="163" t="s">
        <v>605</v>
      </c>
      <c r="J63" s="163" t="s">
        <v>262</v>
      </c>
      <c r="K63" s="163" t="s">
        <v>298</v>
      </c>
      <c r="L63" s="163" t="s">
        <v>620</v>
      </c>
      <c r="M63" s="163" t="s">
        <v>636</v>
      </c>
      <c r="N63" s="163" t="s">
        <v>368</v>
      </c>
      <c r="O63" s="163" t="s">
        <v>349</v>
      </c>
      <c r="P63" s="163" t="s">
        <v>532</v>
      </c>
      <c r="Q63" s="185"/>
      <c r="R63" s="57"/>
      <c r="S63" s="3"/>
      <c r="T63" s="3"/>
      <c r="U63" s="56"/>
      <c r="V63" s="3"/>
      <c r="W63" s="56"/>
      <c r="X63" s="56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</row>
    <row r="64" spans="1:69" x14ac:dyDescent="0.25">
      <c r="A64" s="163" t="s">
        <v>517</v>
      </c>
      <c r="B64" s="163" t="s">
        <v>419</v>
      </c>
      <c r="C64" s="163" t="s">
        <v>586</v>
      </c>
      <c r="D64" s="163" t="s">
        <v>598</v>
      </c>
      <c r="E64" s="163" t="s">
        <v>638</v>
      </c>
      <c r="F64" s="163" t="s">
        <v>639</v>
      </c>
      <c r="G64" s="163" t="s">
        <v>216</v>
      </c>
      <c r="H64" s="163" t="s">
        <v>404</v>
      </c>
      <c r="I64" s="163" t="s">
        <v>550</v>
      </c>
      <c r="J64" s="163" t="s">
        <v>263</v>
      </c>
      <c r="K64" s="163" t="s">
        <v>577</v>
      </c>
      <c r="L64" s="163" t="s">
        <v>285</v>
      </c>
      <c r="M64" s="163" t="s">
        <v>495</v>
      </c>
      <c r="N64" s="163" t="s">
        <v>369</v>
      </c>
      <c r="O64" s="163" t="s">
        <v>608</v>
      </c>
      <c r="P64" s="163" t="s">
        <v>234</v>
      </c>
      <c r="Q64" s="185"/>
      <c r="R64" s="57"/>
      <c r="S64" s="3"/>
      <c r="T64" s="3"/>
      <c r="U64" s="56"/>
      <c r="V64" s="3"/>
      <c r="W64" s="56"/>
      <c r="X64" s="56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</row>
    <row r="65" spans="1:62" x14ac:dyDescent="0.25">
      <c r="A65" s="163" t="s">
        <v>522</v>
      </c>
      <c r="B65" s="163" t="s">
        <v>420</v>
      </c>
      <c r="C65" s="163" t="s">
        <v>348</v>
      </c>
      <c r="D65" s="163" t="s">
        <v>438</v>
      </c>
      <c r="E65" s="163" t="s">
        <v>641</v>
      </c>
      <c r="F65" s="163" t="s">
        <v>642</v>
      </c>
      <c r="G65" s="163" t="s">
        <v>220</v>
      </c>
      <c r="H65" s="163" t="s">
        <v>405</v>
      </c>
      <c r="I65" s="163" t="s">
        <v>551</v>
      </c>
      <c r="J65" s="163" t="s">
        <v>258</v>
      </c>
      <c r="K65" s="163" t="s">
        <v>291</v>
      </c>
      <c r="L65" s="163" t="s">
        <v>621</v>
      </c>
      <c r="M65" s="163" t="s">
        <v>640</v>
      </c>
      <c r="N65" s="163" t="s">
        <v>370</v>
      </c>
      <c r="O65" s="163" t="s">
        <v>256</v>
      </c>
      <c r="P65" s="163" t="s">
        <v>245</v>
      </c>
      <c r="Q65" s="185"/>
      <c r="R65" s="57"/>
      <c r="S65" s="3"/>
      <c r="T65" s="3"/>
      <c r="U65" s="56"/>
      <c r="V65" s="3"/>
      <c r="W65" s="56"/>
      <c r="X65" s="56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</row>
    <row r="66" spans="1:62" x14ac:dyDescent="0.25">
      <c r="A66" s="163" t="s">
        <v>470</v>
      </c>
      <c r="B66" s="163" t="s">
        <v>421</v>
      </c>
      <c r="C66" s="163" t="s">
        <v>349</v>
      </c>
      <c r="D66" s="163" t="s">
        <v>457</v>
      </c>
      <c r="E66" s="163" t="s">
        <v>644</v>
      </c>
      <c r="F66" s="163" t="s">
        <v>645</v>
      </c>
      <c r="G66" s="163" t="s">
        <v>603</v>
      </c>
      <c r="H66" s="163" t="s">
        <v>406</v>
      </c>
      <c r="I66" s="163" t="s">
        <v>552</v>
      </c>
      <c r="J66" s="163" t="s">
        <v>275</v>
      </c>
      <c r="K66" s="163" t="s">
        <v>537</v>
      </c>
      <c r="L66" s="163" t="s">
        <v>330</v>
      </c>
      <c r="M66" s="163" t="s">
        <v>643</v>
      </c>
      <c r="N66" s="163" t="s">
        <v>371</v>
      </c>
      <c r="O66" s="163" t="s">
        <v>527</v>
      </c>
      <c r="P66" s="163" t="s">
        <v>319</v>
      </c>
      <c r="Q66" s="185"/>
      <c r="R66" s="57"/>
      <c r="S66" s="3"/>
      <c r="T66" s="3"/>
      <c r="U66" s="56"/>
      <c r="V66" s="3"/>
      <c r="W66" s="56"/>
      <c r="X66" s="56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</row>
    <row r="67" spans="1:62" x14ac:dyDescent="0.25">
      <c r="A67" s="163" t="s">
        <v>468</v>
      </c>
      <c r="B67" s="163" t="s">
        <v>375</v>
      </c>
      <c r="C67" s="183" t="s">
        <v>587</v>
      </c>
      <c r="D67" s="163" t="s">
        <v>435</v>
      </c>
      <c r="E67" s="163" t="s">
        <v>647</v>
      </c>
      <c r="F67" s="163" t="s">
        <v>648</v>
      </c>
      <c r="G67" s="163" t="s">
        <v>222</v>
      </c>
      <c r="H67" s="163" t="s">
        <v>344</v>
      </c>
      <c r="I67" s="163" t="s">
        <v>318</v>
      </c>
      <c r="J67" s="163" t="s">
        <v>264</v>
      </c>
      <c r="K67" s="163" t="s">
        <v>538</v>
      </c>
      <c r="L67" s="163" t="s">
        <v>279</v>
      </c>
      <c r="M67" s="163" t="s">
        <v>646</v>
      </c>
      <c r="N67" s="163" t="s">
        <v>372</v>
      </c>
      <c r="O67" s="163" t="s">
        <v>576</v>
      </c>
      <c r="P67" s="163" t="s">
        <v>240</v>
      </c>
      <c r="Q67" s="185"/>
      <c r="R67" s="57"/>
      <c r="S67" s="3"/>
      <c r="T67" s="3"/>
      <c r="U67" s="56"/>
      <c r="V67" s="3"/>
      <c r="W67" s="56"/>
      <c r="X67" s="56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</row>
    <row r="68" spans="1:62" x14ac:dyDescent="0.25">
      <c r="A68" s="163" t="s">
        <v>480</v>
      </c>
      <c r="B68" s="163" t="s">
        <v>422</v>
      </c>
      <c r="C68" s="163" t="s">
        <v>350</v>
      </c>
      <c r="D68" s="163" t="s">
        <v>460</v>
      </c>
      <c r="E68" s="163" t="s">
        <v>650</v>
      </c>
      <c r="F68" s="163" t="s">
        <v>651</v>
      </c>
      <c r="G68" s="163" t="s">
        <v>230</v>
      </c>
      <c r="H68" s="163" t="s">
        <v>407</v>
      </c>
      <c r="I68" s="163" t="s">
        <v>553</v>
      </c>
      <c r="J68" s="163" t="s">
        <v>487</v>
      </c>
      <c r="K68" s="163" t="s">
        <v>315</v>
      </c>
      <c r="L68" s="163" t="s">
        <v>335</v>
      </c>
      <c r="M68" s="163" t="s">
        <v>649</v>
      </c>
      <c r="N68" s="163" t="s">
        <v>373</v>
      </c>
      <c r="O68" s="163" t="s">
        <v>510</v>
      </c>
      <c r="P68" s="163" t="s">
        <v>624</v>
      </c>
      <c r="Q68" s="185"/>
      <c r="R68" s="57"/>
      <c r="S68" s="3"/>
      <c r="T68" s="3"/>
      <c r="U68" s="56"/>
      <c r="V68" s="3"/>
      <c r="W68" s="56"/>
      <c r="X68" s="56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</row>
    <row r="69" spans="1:62" x14ac:dyDescent="0.25">
      <c r="A69" s="163" t="s">
        <v>482</v>
      </c>
      <c r="B69" s="163" t="s">
        <v>574</v>
      </c>
      <c r="C69" s="163" t="s">
        <v>351</v>
      </c>
      <c r="D69" s="163" t="s">
        <v>450</v>
      </c>
      <c r="E69" s="163" t="s">
        <v>653</v>
      </c>
      <c r="F69" s="163" t="s">
        <v>654</v>
      </c>
      <c r="G69" s="163" t="s">
        <v>221</v>
      </c>
      <c r="H69" s="163" t="s">
        <v>408</v>
      </c>
      <c r="I69" s="163" t="s">
        <v>554</v>
      </c>
      <c r="J69" s="163" t="s">
        <v>267</v>
      </c>
      <c r="K69" s="163" t="s">
        <v>306</v>
      </c>
      <c r="L69" s="163" t="s">
        <v>336</v>
      </c>
      <c r="M69" s="163" t="s">
        <v>652</v>
      </c>
      <c r="N69" s="163" t="s">
        <v>374</v>
      </c>
      <c r="O69" s="163" t="s">
        <v>511</v>
      </c>
      <c r="P69" s="163" t="s">
        <v>250</v>
      </c>
      <c r="Q69" s="185"/>
      <c r="R69" s="57"/>
      <c r="S69" s="3"/>
      <c r="T69" s="3"/>
      <c r="U69" s="56"/>
      <c r="V69" s="3"/>
      <c r="W69" s="56"/>
      <c r="X69" s="56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</row>
    <row r="70" spans="1:62" x14ac:dyDescent="0.25">
      <c r="A70" s="163" t="s">
        <v>474</v>
      </c>
      <c r="B70" s="163" t="s">
        <v>526</v>
      </c>
      <c r="C70" s="183" t="s">
        <v>588</v>
      </c>
      <c r="D70" s="163" t="s">
        <v>451</v>
      </c>
      <c r="E70" s="163" t="s">
        <v>656</v>
      </c>
      <c r="F70" s="163" t="s">
        <v>657</v>
      </c>
      <c r="G70" s="163" t="s">
        <v>231</v>
      </c>
      <c r="H70" s="163" t="s">
        <v>497</v>
      </c>
      <c r="I70" s="163" t="s">
        <v>555</v>
      </c>
      <c r="J70" s="163" t="s">
        <v>266</v>
      </c>
      <c r="K70" s="163" t="s">
        <v>313</v>
      </c>
      <c r="L70" s="163" t="s">
        <v>331</v>
      </c>
      <c r="M70" s="163" t="s">
        <v>655</v>
      </c>
      <c r="N70" s="163" t="s">
        <v>376</v>
      </c>
      <c r="O70" s="163" t="s">
        <v>506</v>
      </c>
      <c r="P70" s="163" t="s">
        <v>251</v>
      </c>
      <c r="Q70" s="185"/>
      <c r="R70" s="57"/>
      <c r="S70" s="3"/>
      <c r="T70" s="3"/>
      <c r="U70" s="56"/>
      <c r="V70" s="3"/>
      <c r="W70" s="56"/>
      <c r="X70" s="56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</row>
    <row r="71" spans="1:62" x14ac:dyDescent="0.25">
      <c r="A71" s="163" t="s">
        <v>469</v>
      </c>
      <c r="B71" s="163" t="s">
        <v>423</v>
      </c>
      <c r="C71" s="163" t="s">
        <v>352</v>
      </c>
      <c r="D71" s="163" t="s">
        <v>448</v>
      </c>
      <c r="E71" s="163" t="s">
        <v>494</v>
      </c>
      <c r="F71" s="163" t="s">
        <v>659</v>
      </c>
      <c r="G71" s="163" t="s">
        <v>223</v>
      </c>
      <c r="H71" s="163" t="s">
        <v>498</v>
      </c>
      <c r="I71" s="163" t="s">
        <v>606</v>
      </c>
      <c r="J71" s="163" t="s">
        <v>269</v>
      </c>
      <c r="K71" s="163" t="s">
        <v>308</v>
      </c>
      <c r="L71" s="163" t="s">
        <v>287</v>
      </c>
      <c r="M71" s="163" t="s">
        <v>658</v>
      </c>
      <c r="N71" s="163" t="s">
        <v>377</v>
      </c>
      <c r="O71" s="163" t="s">
        <v>505</v>
      </c>
      <c r="P71" s="163" t="s">
        <v>239</v>
      </c>
      <c r="Q71" s="185"/>
      <c r="R71" s="57"/>
      <c r="S71" s="3"/>
      <c r="T71" s="3"/>
      <c r="U71" s="56"/>
      <c r="V71" s="3"/>
      <c r="W71" s="56"/>
      <c r="X71" s="56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</row>
    <row r="72" spans="1:62" x14ac:dyDescent="0.25">
      <c r="A72" s="163" t="s">
        <v>579</v>
      </c>
      <c r="B72" s="163" t="s">
        <v>424</v>
      </c>
      <c r="C72" s="183" t="s">
        <v>589</v>
      </c>
      <c r="D72" s="163" t="s">
        <v>444</v>
      </c>
      <c r="E72" s="163" t="s">
        <v>616</v>
      </c>
      <c r="F72" s="163" t="s">
        <v>662</v>
      </c>
      <c r="G72" s="163" t="s">
        <v>224</v>
      </c>
      <c r="H72" s="163" t="s">
        <v>409</v>
      </c>
      <c r="I72" s="163" t="s">
        <v>557</v>
      </c>
      <c r="J72" s="163" t="s">
        <v>268</v>
      </c>
      <c r="K72" s="163" t="s">
        <v>617</v>
      </c>
      <c r="L72" s="163" t="s">
        <v>282</v>
      </c>
      <c r="M72" s="163" t="s">
        <v>660</v>
      </c>
      <c r="N72" s="163" t="s">
        <v>378</v>
      </c>
      <c r="O72" s="163" t="s">
        <v>572</v>
      </c>
      <c r="P72" s="163" t="s">
        <v>244</v>
      </c>
      <c r="Q72" s="185"/>
      <c r="R72" s="57"/>
      <c r="S72" s="3"/>
      <c r="T72" s="3"/>
      <c r="U72" s="56"/>
      <c r="V72" s="3"/>
      <c r="W72" s="56"/>
      <c r="X72" s="56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</row>
    <row r="73" spans="1:62" x14ac:dyDescent="0.25">
      <c r="A73" s="163" t="s">
        <v>580</v>
      </c>
      <c r="B73" s="163" t="s">
        <v>425</v>
      </c>
      <c r="C73" s="163" t="s">
        <v>520</v>
      </c>
      <c r="D73" s="163" t="s">
        <v>461</v>
      </c>
      <c r="E73" s="163" t="s">
        <v>661</v>
      </c>
      <c r="F73" s="163" t="s">
        <v>485</v>
      </c>
      <c r="G73" s="163" t="s">
        <v>225</v>
      </c>
      <c r="H73" s="163" t="s">
        <v>410</v>
      </c>
      <c r="I73" s="163" t="s">
        <v>558</v>
      </c>
      <c r="J73" s="163" t="s">
        <v>257</v>
      </c>
      <c r="K73" s="163" t="s">
        <v>578</v>
      </c>
      <c r="L73" s="163" t="s">
        <v>277</v>
      </c>
      <c r="M73" s="163" t="s">
        <v>339</v>
      </c>
      <c r="N73" s="163" t="s">
        <v>379</v>
      </c>
      <c r="O73" s="163" t="s">
        <v>540</v>
      </c>
      <c r="P73" s="163" t="s">
        <v>243</v>
      </c>
      <c r="Q73" s="185"/>
      <c r="R73" s="57"/>
      <c r="S73" s="3"/>
      <c r="T73" s="3"/>
      <c r="U73" s="56"/>
      <c r="V73" s="3"/>
      <c r="W73" s="56"/>
      <c r="X73" s="56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</row>
    <row r="74" spans="1:62" x14ac:dyDescent="0.25">
      <c r="A74" s="163" t="s">
        <v>484</v>
      </c>
      <c r="B74" s="163" t="s">
        <v>426</v>
      </c>
      <c r="C74" s="163" t="s">
        <v>353</v>
      </c>
      <c r="D74" s="163" t="s">
        <v>459</v>
      </c>
      <c r="E74" s="163" t="s">
        <v>663</v>
      </c>
      <c r="F74" s="163" t="s">
        <v>665</v>
      </c>
      <c r="G74" s="163" t="s">
        <v>329</v>
      </c>
      <c r="H74" s="163" t="s">
        <v>521</v>
      </c>
      <c r="I74" s="163" t="s">
        <v>559</v>
      </c>
      <c r="J74" s="163" t="s">
        <v>265</v>
      </c>
      <c r="K74" s="163" t="s">
        <v>316</v>
      </c>
      <c r="L74" s="163" t="s">
        <v>332</v>
      </c>
      <c r="M74" s="163" t="s">
        <v>664</v>
      </c>
      <c r="N74" s="163" t="s">
        <v>380</v>
      </c>
      <c r="O74" s="163" t="s">
        <v>254</v>
      </c>
      <c r="P74" s="163" t="s">
        <v>543</v>
      </c>
      <c r="Q74" s="185"/>
      <c r="R74" s="57"/>
      <c r="S74" s="3"/>
      <c r="T74" s="3"/>
      <c r="U74" s="56"/>
      <c r="V74" s="56"/>
      <c r="W74" s="56"/>
      <c r="X74" s="56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</row>
    <row r="75" spans="1:62" x14ac:dyDescent="0.25">
      <c r="A75" s="163" t="s">
        <v>481</v>
      </c>
      <c r="B75" s="163" t="s">
        <v>427</v>
      </c>
      <c r="C75" s="163" t="s">
        <v>354</v>
      </c>
      <c r="D75" s="163" t="s">
        <v>442</v>
      </c>
      <c r="E75" s="163" t="s">
        <v>324</v>
      </c>
      <c r="F75" s="163" t="s">
        <v>668</v>
      </c>
      <c r="G75" s="163" t="s">
        <v>226</v>
      </c>
      <c r="H75" s="163" t="s">
        <v>411</v>
      </c>
      <c r="I75" s="163" t="s">
        <v>560</v>
      </c>
      <c r="J75" s="163" t="s">
        <v>273</v>
      </c>
      <c r="K75" s="163" t="s">
        <v>294</v>
      </c>
      <c r="L75" s="163" t="s">
        <v>333</v>
      </c>
      <c r="M75" s="163" t="s">
        <v>666</v>
      </c>
      <c r="N75" s="163" t="s">
        <v>381</v>
      </c>
      <c r="O75" s="163" t="s">
        <v>609</v>
      </c>
      <c r="P75" s="163" t="s">
        <v>241</v>
      </c>
      <c r="Q75" s="185"/>
      <c r="R75" s="57"/>
      <c r="S75" s="3"/>
      <c r="T75" s="3"/>
      <c r="U75" s="56"/>
      <c r="V75" s="3"/>
      <c r="W75" s="56"/>
      <c r="X75" s="56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</row>
    <row r="76" spans="1:62" x14ac:dyDescent="0.25">
      <c r="A76" s="163" t="s">
        <v>466</v>
      </c>
      <c r="B76" s="163" t="s">
        <v>613</v>
      </c>
      <c r="C76" s="163" t="s">
        <v>503</v>
      </c>
      <c r="D76" s="163" t="s">
        <v>458</v>
      </c>
      <c r="E76" s="163" t="s">
        <v>667</v>
      </c>
      <c r="F76" s="163" t="s">
        <v>531</v>
      </c>
      <c r="G76" s="163" t="s">
        <v>228</v>
      </c>
      <c r="H76" s="163" t="s">
        <v>412</v>
      </c>
      <c r="I76" s="163" t="s">
        <v>556</v>
      </c>
      <c r="J76" s="163" t="s">
        <v>232</v>
      </c>
      <c r="K76" s="163" t="s">
        <v>299</v>
      </c>
      <c r="L76" s="163" t="s">
        <v>281</v>
      </c>
      <c r="M76" s="163" t="s">
        <v>669</v>
      </c>
      <c r="N76" s="163" t="s">
        <v>382</v>
      </c>
      <c r="O76" s="163" t="s">
        <v>610</v>
      </c>
      <c r="P76" s="163" t="s">
        <v>242</v>
      </c>
      <c r="Q76" s="185"/>
      <c r="R76" s="57"/>
      <c r="S76" s="3"/>
      <c r="T76" s="3"/>
      <c r="U76" s="56"/>
      <c r="V76" s="3"/>
      <c r="W76" s="56"/>
      <c r="X76" s="56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</row>
    <row r="77" spans="1:62" x14ac:dyDescent="0.25">
      <c r="A77" s="163" t="s">
        <v>529</v>
      </c>
      <c r="B77" s="163" t="s">
        <v>429</v>
      </c>
      <c r="C77" s="163" t="s">
        <v>355</v>
      </c>
      <c r="D77" s="163" t="s">
        <v>440</v>
      </c>
      <c r="E77" s="163" t="s">
        <v>502</v>
      </c>
      <c r="F77" s="163" t="s">
        <v>674</v>
      </c>
      <c r="G77" s="163" t="s">
        <v>500</v>
      </c>
      <c r="H77" s="163" t="s">
        <v>413</v>
      </c>
      <c r="I77" s="163" t="s">
        <v>561</v>
      </c>
      <c r="J77" s="163" t="s">
        <v>272</v>
      </c>
      <c r="K77" s="163" t="s">
        <v>302</v>
      </c>
      <c r="L77" s="163" t="s">
        <v>284</v>
      </c>
      <c r="M77" s="163" t="s">
        <v>670</v>
      </c>
      <c r="N77" s="163" t="s">
        <v>383</v>
      </c>
      <c r="O77" s="163" t="s">
        <v>512</v>
      </c>
      <c r="P77" s="163" t="s">
        <v>428</v>
      </c>
      <c r="Q77" s="185"/>
      <c r="R77" s="57"/>
      <c r="S77" s="3"/>
      <c r="T77" s="3"/>
      <c r="U77" s="56"/>
      <c r="V77" s="56"/>
      <c r="W77" s="56"/>
      <c r="X77" s="56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</row>
    <row r="78" spans="1:62" x14ac:dyDescent="0.25">
      <c r="A78" s="163" t="s">
        <v>471</v>
      </c>
      <c r="B78" s="163" t="s">
        <v>430</v>
      </c>
      <c r="C78" s="183" t="s">
        <v>590</v>
      </c>
      <c r="D78" s="163" t="s">
        <v>446</v>
      </c>
      <c r="E78" s="163" t="s">
        <v>671</v>
      </c>
      <c r="F78" s="163" t="s">
        <v>677</v>
      </c>
      <c r="G78" s="163" t="s">
        <v>604</v>
      </c>
      <c r="H78" s="163"/>
      <c r="I78" s="163" t="s">
        <v>562</v>
      </c>
      <c r="J78" s="163" t="s">
        <v>271</v>
      </c>
      <c r="K78" s="163" t="s">
        <v>312</v>
      </c>
      <c r="L78" s="163" t="s">
        <v>246</v>
      </c>
      <c r="M78" s="163" t="s">
        <v>672</v>
      </c>
      <c r="N78" s="163" t="s">
        <v>384</v>
      </c>
      <c r="O78" s="163" t="s">
        <v>325</v>
      </c>
      <c r="P78" s="163" t="s">
        <v>542</v>
      </c>
      <c r="Q78" s="185"/>
      <c r="R78" s="57"/>
      <c r="S78" s="3"/>
      <c r="T78" s="3"/>
      <c r="U78" s="56"/>
      <c r="V78" s="3"/>
      <c r="W78" s="56"/>
      <c r="X78" s="56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</row>
    <row r="79" spans="1:62" x14ac:dyDescent="0.25">
      <c r="A79" s="163" t="s">
        <v>528</v>
      </c>
      <c r="B79" s="163" t="s">
        <v>431</v>
      </c>
      <c r="C79" s="183" t="s">
        <v>591</v>
      </c>
      <c r="D79" s="163" t="s">
        <v>441</v>
      </c>
      <c r="E79" s="163" t="s">
        <v>673</v>
      </c>
      <c r="F79" s="163" t="s">
        <v>599</v>
      </c>
      <c r="G79" s="163"/>
      <c r="H79" s="163"/>
      <c r="I79" s="163" t="s">
        <v>563</v>
      </c>
      <c r="J79" s="163" t="s">
        <v>274</v>
      </c>
      <c r="K79" s="163" t="s">
        <v>322</v>
      </c>
      <c r="L79" s="163" t="s">
        <v>337</v>
      </c>
      <c r="M79" s="163" t="s">
        <v>675</v>
      </c>
      <c r="N79" s="163" t="s">
        <v>385</v>
      </c>
      <c r="O79" s="163" t="s">
        <v>513</v>
      </c>
      <c r="P79" s="163" t="s">
        <v>246</v>
      </c>
      <c r="Q79" s="185"/>
      <c r="R79" s="57"/>
      <c r="S79" s="3"/>
      <c r="T79" s="3"/>
      <c r="U79" s="56"/>
      <c r="V79" s="3"/>
      <c r="W79" s="56"/>
      <c r="X79" s="56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</row>
    <row r="80" spans="1:62" x14ac:dyDescent="0.25">
      <c r="A80" s="163" t="s">
        <v>581</v>
      </c>
      <c r="B80" s="163" t="s">
        <v>525</v>
      </c>
      <c r="C80" s="183" t="s">
        <v>592</v>
      </c>
      <c r="D80" s="163" t="s">
        <v>455</v>
      </c>
      <c r="E80" s="163" t="s">
        <v>676</v>
      </c>
      <c r="F80" s="183" t="s">
        <v>601</v>
      </c>
      <c r="G80" s="163"/>
      <c r="H80" s="163"/>
      <c r="I80" s="163" t="s">
        <v>564</v>
      </c>
      <c r="J80" s="163"/>
      <c r="K80" s="163" t="s">
        <v>295</v>
      </c>
      <c r="L80" s="163" t="s">
        <v>278</v>
      </c>
      <c r="M80" s="163"/>
      <c r="N80" s="163" t="s">
        <v>386</v>
      </c>
      <c r="O80" s="163" t="s">
        <v>611</v>
      </c>
      <c r="P80" s="163" t="s">
        <v>625</v>
      </c>
      <c r="Q80" s="185"/>
      <c r="R80" s="57"/>
      <c r="S80" s="3"/>
      <c r="T80" s="3"/>
      <c r="U80" s="56"/>
      <c r="V80" s="3"/>
      <c r="W80" s="56"/>
      <c r="X80" s="56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</row>
    <row r="81" spans="1:66" x14ac:dyDescent="0.25">
      <c r="A81" s="163" t="s">
        <v>478</v>
      </c>
      <c r="B81" s="163" t="s">
        <v>614</v>
      </c>
      <c r="C81" s="183" t="s">
        <v>593</v>
      </c>
      <c r="D81" s="163" t="s">
        <v>452</v>
      </c>
      <c r="E81" s="163" t="s">
        <v>678</v>
      </c>
      <c r="F81" s="183" t="s">
        <v>544</v>
      </c>
      <c r="G81" s="17"/>
      <c r="H81" s="163"/>
      <c r="I81" s="163" t="s">
        <v>565</v>
      </c>
      <c r="J81" s="163"/>
      <c r="K81" s="163" t="s">
        <v>618</v>
      </c>
      <c r="L81" s="163" t="s">
        <v>288</v>
      </c>
      <c r="M81" s="163"/>
      <c r="N81" s="163" t="s">
        <v>387</v>
      </c>
      <c r="O81" s="163" t="s">
        <v>514</v>
      </c>
      <c r="P81" s="163" t="s">
        <v>236</v>
      </c>
      <c r="Q81" s="185"/>
      <c r="R81" s="57"/>
      <c r="S81" s="3"/>
      <c r="T81" s="3"/>
      <c r="U81" s="56"/>
      <c r="V81" s="3"/>
      <c r="W81" s="56"/>
      <c r="X81" s="56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</row>
    <row r="82" spans="1:66" x14ac:dyDescent="0.25">
      <c r="A82" s="163" t="s">
        <v>501</v>
      </c>
      <c r="B82" s="163" t="s">
        <v>488</v>
      </c>
      <c r="C82" s="163" t="s">
        <v>356</v>
      </c>
      <c r="D82" s="163" t="s">
        <v>454</v>
      </c>
      <c r="E82" s="163" t="s">
        <v>679</v>
      </c>
      <c r="F82" s="163" t="s">
        <v>680</v>
      </c>
      <c r="G82" s="17"/>
      <c r="H82" s="17"/>
      <c r="I82" s="163" t="s">
        <v>566</v>
      </c>
      <c r="J82" s="163"/>
      <c r="K82" s="163" t="s">
        <v>534</v>
      </c>
      <c r="L82" s="163" t="s">
        <v>289</v>
      </c>
      <c r="M82" s="183"/>
      <c r="N82" s="163" t="s">
        <v>388</v>
      </c>
      <c r="O82" s="163" t="s">
        <v>504</v>
      </c>
      <c r="P82" s="163" t="s">
        <v>237</v>
      </c>
      <c r="Q82" s="185"/>
      <c r="R82" s="57"/>
      <c r="S82" s="3"/>
      <c r="T82" s="3"/>
      <c r="U82" s="56"/>
      <c r="V82" s="3"/>
      <c r="W82" s="56"/>
      <c r="X82" s="56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</row>
    <row r="83" spans="1:66" x14ac:dyDescent="0.25">
      <c r="A83" s="163" t="s">
        <v>499</v>
      </c>
      <c r="B83" s="163" t="s">
        <v>493</v>
      </c>
      <c r="C83" s="163" t="s">
        <v>357</v>
      </c>
      <c r="D83" s="163" t="s">
        <v>453</v>
      </c>
      <c r="E83" s="163" t="s">
        <v>681</v>
      </c>
      <c r="F83" s="163" t="s">
        <v>326</v>
      </c>
      <c r="G83" s="17"/>
      <c r="H83" s="17"/>
      <c r="I83" s="163" t="s">
        <v>567</v>
      </c>
      <c r="J83" s="163"/>
      <c r="K83" s="163" t="s">
        <v>292</v>
      </c>
      <c r="L83" s="163"/>
      <c r="M83" s="183"/>
      <c r="N83" s="163" t="s">
        <v>389</v>
      </c>
      <c r="O83" s="163" t="s">
        <v>255</v>
      </c>
      <c r="P83" s="163" t="s">
        <v>491</v>
      </c>
      <c r="Q83" s="185"/>
      <c r="R83" s="57"/>
      <c r="S83" s="3"/>
      <c r="T83" s="3"/>
      <c r="U83" s="56"/>
      <c r="V83" s="3"/>
      <c r="W83" s="56"/>
      <c r="X83" s="56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66" x14ac:dyDescent="0.25">
      <c r="A84" s="163" t="s">
        <v>479</v>
      </c>
      <c r="B84" s="163" t="s">
        <v>432</v>
      </c>
      <c r="C84" s="163" t="s">
        <v>358</v>
      </c>
      <c r="D84" s="163" t="s">
        <v>449</v>
      </c>
      <c r="E84" s="163"/>
      <c r="F84" s="163" t="s">
        <v>682</v>
      </c>
      <c r="G84" s="17"/>
      <c r="H84" s="17"/>
      <c r="I84" s="163" t="s">
        <v>568</v>
      </c>
      <c r="J84" s="163"/>
      <c r="K84" s="163" t="s">
        <v>523</v>
      </c>
      <c r="L84" s="163"/>
      <c r="M84" s="184"/>
      <c r="N84" s="163" t="s">
        <v>390</v>
      </c>
      <c r="O84" s="163" t="s">
        <v>515</v>
      </c>
      <c r="P84" s="163" t="s">
        <v>248</v>
      </c>
      <c r="Q84" s="185"/>
      <c r="R84" s="57"/>
      <c r="S84" s="3"/>
      <c r="T84" s="3"/>
      <c r="U84" s="56"/>
      <c r="V84" s="3"/>
      <c r="W84" s="56"/>
      <c r="X84" s="56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</row>
    <row r="85" spans="1:66" x14ac:dyDescent="0.25">
      <c r="A85" s="163" t="s">
        <v>483</v>
      </c>
      <c r="B85" s="163"/>
      <c r="C85" s="183" t="s">
        <v>594</v>
      </c>
      <c r="D85" s="163" t="s">
        <v>445</v>
      </c>
      <c r="E85" s="163"/>
      <c r="F85" s="163" t="s">
        <v>530</v>
      </c>
      <c r="G85" s="17"/>
      <c r="H85" s="17"/>
      <c r="I85" s="163" t="s">
        <v>569</v>
      </c>
      <c r="J85" s="163"/>
      <c r="K85" s="163" t="s">
        <v>619</v>
      </c>
      <c r="L85" s="163"/>
      <c r="M85" s="184"/>
      <c r="N85" s="163" t="s">
        <v>391</v>
      </c>
      <c r="O85" s="163" t="s">
        <v>516</v>
      </c>
      <c r="P85" s="163" t="s">
        <v>492</v>
      </c>
      <c r="Q85" s="185"/>
      <c r="R85" s="57"/>
      <c r="S85" s="3"/>
      <c r="T85" s="3"/>
      <c r="U85" s="56"/>
      <c r="V85" s="3"/>
      <c r="W85" s="56"/>
      <c r="X85" s="56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</row>
    <row r="86" spans="1:66" x14ac:dyDescent="0.25">
      <c r="A86" s="163" t="s">
        <v>465</v>
      </c>
      <c r="B86" s="163"/>
      <c r="C86" s="163" t="s">
        <v>359</v>
      </c>
      <c r="D86" s="163" t="s">
        <v>434</v>
      </c>
      <c r="E86" s="17"/>
      <c r="F86" s="183" t="s">
        <v>600</v>
      </c>
      <c r="G86" s="17"/>
      <c r="H86" s="17"/>
      <c r="I86" s="163" t="s">
        <v>545</v>
      </c>
      <c r="J86" s="17"/>
      <c r="K86" s="163" t="s">
        <v>496</v>
      </c>
      <c r="L86" s="17"/>
      <c r="M86" s="184"/>
      <c r="N86" s="163" t="s">
        <v>392</v>
      </c>
      <c r="O86" s="163"/>
      <c r="P86" s="163" t="s">
        <v>232</v>
      </c>
      <c r="Q86" s="185"/>
      <c r="R86" s="57"/>
      <c r="S86" s="3"/>
      <c r="T86" s="3"/>
      <c r="U86" s="56"/>
      <c r="V86" s="3"/>
      <c r="W86" s="56"/>
      <c r="X86" s="56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</row>
    <row r="87" spans="1:66" x14ac:dyDescent="0.25">
      <c r="A87" s="163" t="s">
        <v>463</v>
      </c>
      <c r="B87" s="163"/>
      <c r="C87" s="183" t="s">
        <v>595</v>
      </c>
      <c r="D87" s="163"/>
      <c r="E87" s="17"/>
      <c r="F87" s="163" t="s">
        <v>247</v>
      </c>
      <c r="G87" s="17"/>
      <c r="H87" s="17"/>
      <c r="I87" s="163" t="s">
        <v>570</v>
      </c>
      <c r="J87" s="17"/>
      <c r="K87" s="163" t="s">
        <v>314</v>
      </c>
      <c r="L87" s="17"/>
      <c r="M87" s="184"/>
      <c r="N87" s="163" t="s">
        <v>393</v>
      </c>
      <c r="O87" s="163"/>
      <c r="P87" s="163" t="s">
        <v>626</v>
      </c>
      <c r="Q87" s="185"/>
      <c r="R87" s="57"/>
      <c r="S87" s="3"/>
      <c r="T87" s="3"/>
      <c r="U87" s="56"/>
      <c r="V87" s="56"/>
      <c r="W87" s="56"/>
      <c r="X87" s="56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</row>
    <row r="88" spans="1:66" x14ac:dyDescent="0.25">
      <c r="A88" s="163" t="s">
        <v>462</v>
      </c>
      <c r="B88" s="163"/>
      <c r="C88" s="163" t="s">
        <v>360</v>
      </c>
      <c r="D88" s="163"/>
      <c r="E88" s="17"/>
      <c r="F88" s="163"/>
      <c r="G88" s="17"/>
      <c r="H88" s="17"/>
      <c r="I88" s="163" t="s">
        <v>571</v>
      </c>
      <c r="J88" s="17"/>
      <c r="K88" s="163" t="s">
        <v>439</v>
      </c>
      <c r="L88" s="17"/>
      <c r="M88" s="184"/>
      <c r="N88" s="163" t="s">
        <v>394</v>
      </c>
      <c r="O88" s="163"/>
      <c r="P88" s="163"/>
      <c r="Q88" s="185"/>
      <c r="R88" s="57"/>
      <c r="S88" s="3"/>
      <c r="T88" s="3"/>
      <c r="U88" s="56"/>
      <c r="V88" s="3"/>
      <c r="W88" s="56"/>
      <c r="X88" s="56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</row>
    <row r="89" spans="1:66" x14ac:dyDescent="0.25">
      <c r="A89" s="163" t="s">
        <v>473</v>
      </c>
      <c r="B89" s="17"/>
      <c r="C89" s="163" t="s">
        <v>519</v>
      </c>
      <c r="D89" s="163"/>
      <c r="E89" s="17"/>
      <c r="F89" s="183"/>
      <c r="G89" s="17"/>
      <c r="H89" s="17"/>
      <c r="I89" s="163" t="s">
        <v>607</v>
      </c>
      <c r="J89" s="17"/>
      <c r="K89" s="163" t="s">
        <v>309</v>
      </c>
      <c r="L89" s="17"/>
      <c r="M89" s="184"/>
      <c r="N89" s="163" t="s">
        <v>623</v>
      </c>
      <c r="O89" s="17"/>
      <c r="P89" s="163"/>
      <c r="Q89" s="185"/>
      <c r="R89" s="162"/>
      <c r="S89" s="3"/>
      <c r="T89" s="3"/>
      <c r="U89" s="56"/>
      <c r="V89" s="3"/>
      <c r="W89" s="56"/>
      <c r="X89" s="56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</row>
    <row r="90" spans="1:66" x14ac:dyDescent="0.25">
      <c r="A90" s="163" t="s">
        <v>518</v>
      </c>
      <c r="B90" s="17"/>
      <c r="C90" s="163" t="s">
        <v>361</v>
      </c>
      <c r="D90" s="163"/>
      <c r="E90" s="17"/>
      <c r="F90" s="183"/>
      <c r="G90" s="17"/>
      <c r="H90" s="17"/>
      <c r="I90" s="163" t="s">
        <v>320</v>
      </c>
      <c r="J90" s="17"/>
      <c r="K90" s="163" t="s">
        <v>433</v>
      </c>
      <c r="L90" s="17"/>
      <c r="M90" s="184"/>
      <c r="N90" s="163" t="s">
        <v>395</v>
      </c>
      <c r="O90" s="17"/>
      <c r="P90" s="163"/>
      <c r="Q90" s="185"/>
      <c r="R90" s="162"/>
      <c r="S90" s="3"/>
      <c r="T90" s="3"/>
      <c r="U90" s="56"/>
      <c r="V90" s="3"/>
      <c r="W90" s="56"/>
      <c r="X90" s="56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</row>
    <row r="91" spans="1:66" x14ac:dyDescent="0.25">
      <c r="A91" s="163"/>
      <c r="B91" s="17"/>
      <c r="C91" s="163" t="s">
        <v>362</v>
      </c>
      <c r="D91" s="17"/>
      <c r="E91" s="17"/>
      <c r="F91" s="184"/>
      <c r="G91" s="17"/>
      <c r="H91" s="17"/>
      <c r="I91" s="163"/>
      <c r="J91" s="17"/>
      <c r="K91" s="163" t="s">
        <v>304</v>
      </c>
      <c r="L91" s="17"/>
      <c r="M91" s="184"/>
      <c r="N91" s="183" t="s">
        <v>535</v>
      </c>
      <c r="O91" s="17"/>
      <c r="P91" s="17"/>
      <c r="Q91" s="185"/>
      <c r="R91" s="162"/>
      <c r="S91" s="3"/>
      <c r="T91" s="3"/>
      <c r="U91" s="56"/>
      <c r="V91" s="3"/>
      <c r="W91" s="56"/>
      <c r="X91" s="56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</row>
    <row r="92" spans="1:66" x14ac:dyDescent="0.25">
      <c r="A92" s="163"/>
      <c r="B92" s="17"/>
      <c r="C92" s="183" t="s">
        <v>596</v>
      </c>
      <c r="D92" s="17"/>
      <c r="E92" s="17"/>
      <c r="F92" s="184"/>
      <c r="G92" s="17"/>
      <c r="H92" s="17"/>
      <c r="I92" s="163"/>
      <c r="J92" s="17"/>
      <c r="K92" s="163" t="s">
        <v>310</v>
      </c>
      <c r="L92" s="17"/>
      <c r="M92" s="184"/>
      <c r="N92" s="163" t="s">
        <v>396</v>
      </c>
      <c r="O92" s="17"/>
      <c r="P92" s="17"/>
      <c r="Q92" s="185"/>
      <c r="R92" s="162"/>
      <c r="S92" s="3"/>
      <c r="T92" s="3"/>
      <c r="U92" s="56"/>
      <c r="V92" s="3"/>
      <c r="W92" s="56"/>
      <c r="X92" s="56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</row>
    <row r="93" spans="1:66" x14ac:dyDescent="0.25">
      <c r="A93" s="163"/>
      <c r="B93" s="17"/>
      <c r="C93" s="183"/>
      <c r="D93" s="184"/>
      <c r="E93" s="17"/>
      <c r="F93" s="184"/>
      <c r="G93" s="17"/>
      <c r="H93" s="17"/>
      <c r="I93" s="163"/>
      <c r="J93" s="17"/>
      <c r="K93" s="163" t="s">
        <v>317</v>
      </c>
      <c r="L93" s="17"/>
      <c r="M93" s="184"/>
      <c r="N93" s="163" t="s">
        <v>397</v>
      </c>
      <c r="O93" s="17"/>
      <c r="P93" s="17"/>
      <c r="Q93" s="185"/>
      <c r="R93" s="162"/>
      <c r="S93" s="3"/>
      <c r="T93" s="3"/>
      <c r="U93" s="56"/>
      <c r="V93" s="3"/>
      <c r="W93" s="56"/>
      <c r="X93" s="56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</row>
    <row r="94" spans="1:66" x14ac:dyDescent="0.25">
      <c r="A94" s="17"/>
      <c r="B94" s="17"/>
      <c r="C94" s="183"/>
      <c r="D94" s="184"/>
      <c r="E94" s="17"/>
      <c r="F94" s="184"/>
      <c r="G94" s="17"/>
      <c r="H94" s="17"/>
      <c r="I94" s="17"/>
      <c r="J94" s="17"/>
      <c r="K94" s="163" t="s">
        <v>323</v>
      </c>
      <c r="L94" s="17"/>
      <c r="M94" s="184"/>
      <c r="N94" s="163"/>
      <c r="O94" s="17"/>
      <c r="P94" s="17"/>
      <c r="Q94" s="185"/>
      <c r="R94" s="162"/>
      <c r="S94" s="3"/>
      <c r="T94" s="3"/>
      <c r="U94" s="56"/>
      <c r="V94" s="56"/>
      <c r="W94" s="56"/>
      <c r="X94" s="56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</row>
    <row r="95" spans="1:66" ht="17.25" customHeight="1" x14ac:dyDescent="0.25">
      <c r="A95" s="17"/>
      <c r="B95" s="17"/>
      <c r="C95" s="183"/>
      <c r="D95" s="184"/>
      <c r="E95" s="17"/>
      <c r="F95" s="184"/>
      <c r="G95" s="17"/>
      <c r="H95" s="17"/>
      <c r="I95" s="17"/>
      <c r="J95" s="17"/>
      <c r="K95" s="163" t="s">
        <v>533</v>
      </c>
      <c r="L95" s="17"/>
      <c r="M95" s="184"/>
      <c r="N95" s="163"/>
      <c r="O95" s="17"/>
      <c r="P95" s="17"/>
      <c r="Q95" s="185"/>
      <c r="R95" s="162"/>
      <c r="W95" s="56"/>
      <c r="X95" s="56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</row>
    <row r="96" spans="1:66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63" t="s">
        <v>300</v>
      </c>
      <c r="L96" s="17"/>
      <c r="M96" s="184"/>
      <c r="N96" s="183"/>
      <c r="O96" s="17"/>
      <c r="P96" s="17"/>
      <c r="Q96" s="185"/>
      <c r="R96" s="162"/>
      <c r="S96" s="3"/>
      <c r="T96" s="56"/>
      <c r="U96" s="3"/>
      <c r="V96" s="56"/>
      <c r="X96" s="56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</row>
    <row r="97" spans="1:69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63" t="s">
        <v>311</v>
      </c>
      <c r="L97" s="17"/>
      <c r="M97" s="17"/>
      <c r="N97" s="163"/>
      <c r="O97" s="17"/>
      <c r="P97" s="17"/>
      <c r="Q97" s="185"/>
      <c r="R97" s="162"/>
      <c r="S97" s="3"/>
      <c r="T97" s="56"/>
      <c r="U97" s="56"/>
      <c r="V97" s="56"/>
      <c r="W97" s="56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</row>
    <row r="98" spans="1:69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63" t="s">
        <v>293</v>
      </c>
      <c r="L98" s="17"/>
      <c r="M98" s="184"/>
      <c r="N98" s="184"/>
      <c r="O98" s="17"/>
      <c r="P98" s="17"/>
      <c r="Q98" s="185"/>
      <c r="R98" s="162"/>
      <c r="S98" s="3"/>
      <c r="T98" s="56"/>
      <c r="U98" s="3"/>
      <c r="V98" s="56"/>
      <c r="W98" s="56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</row>
    <row r="99" spans="1:69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63" t="s">
        <v>307</v>
      </c>
      <c r="L99" s="17"/>
      <c r="M99" s="184"/>
      <c r="N99" s="184"/>
      <c r="O99" s="17"/>
      <c r="P99" s="17"/>
      <c r="Q99" s="185"/>
      <c r="R99" s="162"/>
      <c r="S99" s="3"/>
      <c r="T99" s="56"/>
      <c r="U99" s="56"/>
      <c r="V99" s="56"/>
      <c r="W99" s="56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</row>
    <row r="100" spans="1:69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63" t="s">
        <v>290</v>
      </c>
      <c r="L100" s="17"/>
      <c r="M100" s="17"/>
      <c r="N100" s="17"/>
      <c r="O100" s="17"/>
      <c r="P100" s="17"/>
      <c r="Q100" s="185"/>
      <c r="R100" s="162"/>
      <c r="S100" s="3"/>
      <c r="T100" s="56"/>
      <c r="U100" s="3"/>
      <c r="V100" s="56"/>
      <c r="W100" s="56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</row>
    <row r="101" spans="1:69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63"/>
      <c r="L101" s="17"/>
      <c r="M101" s="17"/>
      <c r="N101" s="17"/>
      <c r="O101" s="17"/>
      <c r="P101" s="17"/>
      <c r="Q101" s="185"/>
      <c r="R101" s="57"/>
      <c r="S101" s="3"/>
      <c r="T101" s="56"/>
      <c r="U101" s="3"/>
      <c r="V101" s="56"/>
      <c r="W101" s="56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</row>
    <row r="102" spans="1:69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63"/>
      <c r="L102" s="17"/>
      <c r="M102" s="17"/>
      <c r="N102" s="17"/>
      <c r="O102" s="17"/>
      <c r="P102" s="17"/>
      <c r="Q102" s="185"/>
      <c r="R102" s="57"/>
      <c r="S102" s="3"/>
      <c r="T102" s="56"/>
      <c r="U102" s="3"/>
      <c r="V102" s="56"/>
      <c r="W102" s="56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</row>
    <row r="103" spans="1:69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63"/>
      <c r="L103" s="17"/>
      <c r="M103" s="17"/>
      <c r="N103" s="17"/>
      <c r="O103" s="17"/>
      <c r="P103" s="17"/>
      <c r="Q103" s="185"/>
      <c r="R103" s="57"/>
      <c r="S103" s="3"/>
      <c r="T103" s="56"/>
      <c r="U103" s="3"/>
      <c r="V103" s="56"/>
      <c r="W103" s="56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</row>
    <row r="104" spans="1:69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7"/>
      <c r="Q104" s="185"/>
      <c r="R104" s="57"/>
      <c r="S104" s="3"/>
      <c r="T104" s="56"/>
      <c r="U104" s="56"/>
      <c r="V104" s="56"/>
      <c r="W104" s="56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</row>
    <row r="105" spans="1:69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7"/>
      <c r="Q105" s="185"/>
      <c r="R105" s="57"/>
      <c r="S105" s="3"/>
      <c r="T105" s="56"/>
      <c r="U105" s="3"/>
      <c r="V105" s="56"/>
      <c r="W105" s="56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</row>
    <row r="106" spans="1:69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7"/>
      <c r="Q106" s="185"/>
      <c r="R106" s="57"/>
      <c r="S106" s="3"/>
      <c r="T106" s="56"/>
      <c r="U106" s="3"/>
      <c r="V106" s="56"/>
      <c r="W106" s="56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</row>
    <row r="107" spans="1:69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46"/>
      <c r="P107" s="17"/>
      <c r="Q107" s="185"/>
      <c r="R107" s="57"/>
      <c r="S107" s="3"/>
      <c r="T107" s="56"/>
      <c r="U107" s="56"/>
      <c r="V107" s="56"/>
      <c r="W107" s="56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</row>
    <row r="108" spans="1:69" x14ac:dyDescent="0.2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57"/>
      <c r="R108" s="57"/>
      <c r="W108" s="56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</row>
    <row r="109" spans="1:69" x14ac:dyDescent="0.2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57"/>
      <c r="R109" s="57"/>
      <c r="S109" s="57"/>
      <c r="T109" s="57"/>
      <c r="U109" s="57"/>
      <c r="V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</row>
    <row r="110" spans="1:69" x14ac:dyDescent="0.2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</row>
    <row r="111" spans="1:69" x14ac:dyDescent="0.2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</row>
    <row r="112" spans="1:69" x14ac:dyDescent="0.2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</row>
    <row r="113" spans="1:72" x14ac:dyDescent="0.2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</row>
    <row r="114" spans="1:72" x14ac:dyDescent="0.2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</row>
    <row r="115" spans="1:72" x14ac:dyDescent="0.2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</row>
    <row r="116" spans="1:72" x14ac:dyDescent="0.25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</row>
    <row r="117" spans="1:72" x14ac:dyDescent="0.25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</row>
    <row r="118" spans="1:72" x14ac:dyDescent="0.2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</row>
    <row r="119" spans="1:72" ht="15.75" thickBot="1" x14ac:dyDescent="0.3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170" t="s">
        <v>194</v>
      </c>
      <c r="AB119" s="170"/>
      <c r="AC119" s="170"/>
      <c r="AD119" s="170"/>
      <c r="AE119" s="170"/>
      <c r="AF119" s="170"/>
      <c r="AG119" s="170" t="s">
        <v>195</v>
      </c>
      <c r="AH119" s="170"/>
      <c r="AI119" s="170"/>
      <c r="AJ119" s="170"/>
      <c r="AK119" s="170"/>
      <c r="AL119" s="170"/>
      <c r="AM119" s="170"/>
      <c r="AN119" s="170"/>
      <c r="AO119" s="170"/>
      <c r="AP119" s="57"/>
      <c r="AQ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</row>
    <row r="120" spans="1:72" x14ac:dyDescent="0.25">
      <c r="A120" s="133" t="s">
        <v>161</v>
      </c>
      <c r="B120" s="109" t="s">
        <v>162</v>
      </c>
      <c r="C120" s="109" t="s">
        <v>163</v>
      </c>
      <c r="D120" s="109" t="s">
        <v>164</v>
      </c>
      <c r="E120" s="109" t="s">
        <v>165</v>
      </c>
      <c r="F120" s="109" t="s">
        <v>10</v>
      </c>
      <c r="G120" s="109" t="s">
        <v>166</v>
      </c>
      <c r="H120" s="109" t="s">
        <v>11</v>
      </c>
      <c r="I120" s="109" t="s">
        <v>13</v>
      </c>
      <c r="J120" s="109" t="s">
        <v>167</v>
      </c>
      <c r="K120" s="134" t="s">
        <v>168</v>
      </c>
      <c r="L120" s="134" t="s">
        <v>169</v>
      </c>
      <c r="M120" s="134" t="s">
        <v>170</v>
      </c>
      <c r="N120" s="134" t="s">
        <v>171</v>
      </c>
      <c r="O120" s="134" t="s">
        <v>203</v>
      </c>
      <c r="P120" s="134" t="s">
        <v>201</v>
      </c>
      <c r="Q120" s="134" t="s">
        <v>202</v>
      </c>
      <c r="R120" s="134" t="s">
        <v>172</v>
      </c>
      <c r="S120" s="134" t="s">
        <v>173</v>
      </c>
      <c r="T120" s="134" t="s">
        <v>174</v>
      </c>
      <c r="U120" s="134" t="s">
        <v>76</v>
      </c>
      <c r="V120" s="134" t="s">
        <v>175</v>
      </c>
      <c r="W120" s="134" t="s">
        <v>176</v>
      </c>
      <c r="X120" s="134" t="s">
        <v>177</v>
      </c>
      <c r="Y120" s="134" t="s">
        <v>178</v>
      </c>
      <c r="Z120" s="134" t="s">
        <v>180</v>
      </c>
      <c r="AA120" s="134" t="s">
        <v>181</v>
      </c>
      <c r="AB120" s="134" t="s">
        <v>182</v>
      </c>
      <c r="AC120" s="134" t="s">
        <v>183</v>
      </c>
      <c r="AD120" s="134" t="s">
        <v>189</v>
      </c>
      <c r="AE120" s="134" t="s">
        <v>190</v>
      </c>
      <c r="AF120" s="135" t="s">
        <v>206</v>
      </c>
      <c r="AG120" s="136" t="s">
        <v>191</v>
      </c>
      <c r="AH120" s="137" t="s">
        <v>204</v>
      </c>
      <c r="AI120" s="138" t="s">
        <v>205</v>
      </c>
      <c r="AJ120" s="109" t="s">
        <v>28</v>
      </c>
      <c r="AK120" s="134" t="s">
        <v>192</v>
      </c>
      <c r="AL120" s="134" t="s">
        <v>76</v>
      </c>
      <c r="AM120" s="134" t="s">
        <v>199</v>
      </c>
      <c r="AN120" s="134" t="s">
        <v>197</v>
      </c>
      <c r="AO120" s="134" t="s">
        <v>196</v>
      </c>
      <c r="AP120" s="134" t="s">
        <v>193</v>
      </c>
      <c r="AQ120" s="134" t="s">
        <v>200</v>
      </c>
      <c r="AR120" s="134" t="s">
        <v>211</v>
      </c>
      <c r="AS120" s="139" t="s">
        <v>212</v>
      </c>
      <c r="AT120" s="110" t="s">
        <v>489</v>
      </c>
      <c r="AU120" s="110" t="s">
        <v>490</v>
      </c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</row>
    <row r="121" spans="1:72" x14ac:dyDescent="0.25">
      <c r="A121" s="140">
        <f>B8</f>
        <v>0</v>
      </c>
      <c r="B121" s="116">
        <f>A8</f>
        <v>1</v>
      </c>
      <c r="C121" s="116">
        <v>1</v>
      </c>
      <c r="D121" s="116">
        <f>1-COUNTBLANK(C8)</f>
        <v>0</v>
      </c>
      <c r="E121" s="116">
        <f>COUNTIF(C8,"not out")</f>
        <v>0</v>
      </c>
      <c r="F121" s="116">
        <f>F8</f>
        <v>0</v>
      </c>
      <c r="G121" s="116">
        <f>G8</f>
        <v>0</v>
      </c>
      <c r="H121" s="141">
        <f>I8</f>
        <v>0</v>
      </c>
      <c r="I121" s="116">
        <f>J8</f>
        <v>0</v>
      </c>
      <c r="J121" s="116">
        <f>K8</f>
        <v>0</v>
      </c>
      <c r="K121" s="110">
        <f>SUMIF(O$8:O$18,VLOOKUP(1,A$8:B$18,2,FALSE),Q$8:Q$18)+SUMIF(P$8:P$18,VLOOKUP(1,A$8:B$18,2,FALSE),Q$8:Q$18)</f>
        <v>0</v>
      </c>
      <c r="L121" s="110">
        <f>COUNTIFS('2nd Innings'!$C$8:$C$18,"caught",'2nd Innings'!$D$8:$D$18,VLOOKUP(1,$A$8:$B$18,2,FALSE))+COUNTIFS('2nd Innings'!$C$8:$C$18,"caught WK",'2nd Innings'!$D$8:$D$18,VLOOKUP(1,$A$8:$B$18,2,FALSE))</f>
        <v>0</v>
      </c>
      <c r="M121" s="110">
        <f>COUNTIFS('2nd Innings'!$C$8:$C$18,"Run Out",'2nd Innings'!$D$8:$D$18,VLOOKUP(1,$A$8:$B$18,2,FALSE))</f>
        <v>0</v>
      </c>
      <c r="N121" s="110">
        <f>COUNTIFS('2nd Innings'!$C$8:$C$18,"Stumped",'2nd Innings'!$D$8:$D$18,VLOOKUP(1,$A$8:$B$18,2,FALSE))</f>
        <v>0</v>
      </c>
      <c r="O121" s="110">
        <f>SUM(L121:N121)</f>
        <v>0</v>
      </c>
      <c r="P121" s="110">
        <f t="shared" ref="P121:P142" si="5">COUNTIF(O121,"&gt;2")-Q121</f>
        <v>0</v>
      </c>
      <c r="Q121" s="110">
        <f>COUNTIF(O121,"&gt;4")</f>
        <v>0</v>
      </c>
      <c r="R121" s="110" t="e">
        <f>VLOOKUP(VLOOKUP(1,$A$8:$B$18,2,FALSE),'2nd Innings'!$D$26:$N$36,2,FALSE)</f>
        <v>#N/A</v>
      </c>
      <c r="S121" s="110" t="e">
        <f>VLOOKUP(VLOOKUP(1,$A$8:$B$18,2,FALSE),'2nd Innings'!$D$26:$N$36,3,FALSE)</f>
        <v>#N/A</v>
      </c>
      <c r="T121" s="110" t="e">
        <f>VLOOKUP(VLOOKUP(1,$A$8:$B$18,2,FALSE),'2nd Innings'!$D$26:$N$36,4,FALSE)</f>
        <v>#N/A</v>
      </c>
      <c r="U121" s="110" t="e">
        <f>VLOOKUP(VLOOKUP(1,$A$8:$B$18,2,FALSE),'2nd Innings'!$D$26:$N$36,5,FALSE)</f>
        <v>#N/A</v>
      </c>
      <c r="V121" s="110" t="e">
        <f>VLOOKUP(VLOOKUP(1,$A$8:$B$18,2,FALSE),'2nd Innings'!$D$26:$N$36,6,FALSE)</f>
        <v>#N/A</v>
      </c>
      <c r="W121" s="110" t="e">
        <f>VLOOKUP(VLOOKUP(1,$A$8:$B$18,2,FALSE),'2nd Innings'!$D$26:$N$36,7,FALSE)</f>
        <v>#N/A</v>
      </c>
      <c r="X121" s="110" t="e">
        <f>VLOOKUP(VLOOKUP(1,$A$8:$B$18,2,FALSE),'2nd Innings'!$D$26:$N$36,10,FALSE)</f>
        <v>#N/A</v>
      </c>
      <c r="Y121" s="110" t="e">
        <f>VLOOKUP(VLOOKUP(1,$A$8:$B$18,2,FALSE),'2nd Innings'!$D$26:$N$36,11,FALSE)</f>
        <v>#N/A</v>
      </c>
      <c r="Z121" s="110">
        <f t="shared" ref="Z121:Z142" si="6">COUNTIF(F121,"&gt;49")-AA121</f>
        <v>0</v>
      </c>
      <c r="AA121" s="110">
        <f>COUNTIF(F121,"&gt;99")</f>
        <v>0</v>
      </c>
      <c r="AB121" s="110">
        <f>COUNTIF(U121,"&gt;2")-AC121</f>
        <v>0</v>
      </c>
      <c r="AC121" s="110">
        <f>COUNTIF(U121,"&gt;4")</f>
        <v>0</v>
      </c>
      <c r="AD121" s="111" t="e">
        <f t="shared" ref="AD121:AD142" si="7">F121*((AK121)/$P$26)/$P$29</f>
        <v>#DIV/0!</v>
      </c>
      <c r="AE121" s="111" t="e">
        <f>AD121*200/$AD$143</f>
        <v>#DIV/0!</v>
      </c>
      <c r="AF121" s="112" t="e">
        <f>AE121+(10*Z121)+(25*AA121)</f>
        <v>#DIV/0!</v>
      </c>
      <c r="AG121" s="113" t="e">
        <f t="shared" ref="AG121:AG142" si="8">AQ121+(10*AB121)+(25*AC121)</f>
        <v>#N/A</v>
      </c>
      <c r="AH121" s="114">
        <f t="shared" ref="AH121:AH142" si="9">10*(O121+P121)+(25*Q121)</f>
        <v>0</v>
      </c>
      <c r="AI121" s="115" t="e">
        <f>SUM(AF121:AH121)+2*COUNTIFS(AS121,"=1",AR121,"=W")+2*COUNTIFS(AR121,"W")+COUNTIFS(AR121,"T")</f>
        <v>#DIV/0!</v>
      </c>
      <c r="AJ121" s="111" t="e">
        <f>100*F121/G121</f>
        <v>#DIV/0!</v>
      </c>
      <c r="AK121" s="111" t="e">
        <f>$P$26-(($P$26-AJ121)/2)</f>
        <v>#DIV/0!</v>
      </c>
      <c r="AL121" s="116" t="e">
        <f t="shared" ref="AL121:AL142" si="10">U121</f>
        <v>#N/A</v>
      </c>
      <c r="AM121" s="116" t="e">
        <f>AL121*8</f>
        <v>#N/A</v>
      </c>
      <c r="AN121" s="117" t="e">
        <f>T121/R121</f>
        <v>#N/A</v>
      </c>
      <c r="AO121" s="117" t="e">
        <f>(1-NORMDIST(AN121,$P$32,($P$32/4),TRUE))*(R121/($E$37+'2nd Innings'!$E$37))</f>
        <v>#N/A</v>
      </c>
      <c r="AP121" s="116" t="e">
        <f>(AO121/AO$143)*(200-(8*($H$37+'2nd Innings'!$H$37)))</f>
        <v>#N/A</v>
      </c>
      <c r="AQ121" s="111" t="e">
        <f t="shared" ref="AQ121:AQ142" si="11">AP121+AM121</f>
        <v>#N/A</v>
      </c>
      <c r="AR121" s="110">
        <f>$F$22</f>
        <v>0</v>
      </c>
      <c r="AS121" s="118">
        <f>IF(A121='2nd Innings'!$C$34,1,0)</f>
        <v>1</v>
      </c>
      <c r="AT121" s="166">
        <f>B$3</f>
        <v>0</v>
      </c>
      <c r="AU121" s="110">
        <f>COUNTIFS('2nd Innings'!$C$8:$C$18,"caught WK",'2nd Innings'!$D$8:$D$18,VLOOKUP(1,$A$8:$B$18,2,FALSE))+N121</f>
        <v>0</v>
      </c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</row>
    <row r="122" spans="1:72" x14ac:dyDescent="0.25">
      <c r="A122" s="140">
        <f t="shared" ref="A122:A131" si="12">B9</f>
        <v>0</v>
      </c>
      <c r="B122" s="116">
        <f t="shared" ref="B122:B131" si="13">A9</f>
        <v>2</v>
      </c>
      <c r="C122" s="116">
        <v>1</v>
      </c>
      <c r="D122" s="116">
        <f t="shared" ref="D122:D131" si="14">1-COUNTBLANK(C9)</f>
        <v>0</v>
      </c>
      <c r="E122" s="116">
        <f t="shared" ref="E122:E131" si="15">COUNTIF(C9,"not out")</f>
        <v>0</v>
      </c>
      <c r="F122" s="116">
        <f t="shared" ref="F122:G122" si="16">F9</f>
        <v>0</v>
      </c>
      <c r="G122" s="116">
        <f t="shared" si="16"/>
        <v>0</v>
      </c>
      <c r="H122" s="141">
        <f t="shared" ref="H122:J122" si="17">I9</f>
        <v>0</v>
      </c>
      <c r="I122" s="116">
        <f t="shared" si="17"/>
        <v>0</v>
      </c>
      <c r="J122" s="116">
        <f t="shared" si="17"/>
        <v>0</v>
      </c>
      <c r="K122" s="110">
        <f>SUMIF(O$8:O$18,VLOOKUP(2,A$8:B$18,2,FALSE),Q$8:Q$18)+SUMIF(P$8:P$18,VLOOKUP(2,A$8:B$18,2,FALSE),Q$8:Q$18)</f>
        <v>0</v>
      </c>
      <c r="L122" s="110">
        <f>COUNTIFS('2nd Innings'!$C$8:$C$18,"caught",'2nd Innings'!$D$8:$D$18,VLOOKUP(2,$A$8:$B$18,2,FALSE))+COUNTIFS('2nd Innings'!$C$8:$C$18,"caught WK",'2nd Innings'!$D$8:$D$18,VLOOKUP(2,$A$8:$B$18,2,FALSE))</f>
        <v>0</v>
      </c>
      <c r="M122" s="110">
        <f>COUNTIFS('2nd Innings'!$C$8:$C$18,"Run Out",'2nd Innings'!$D$8:$D$18,VLOOKUP(2,$A$8:$B$18,2,FALSE))</f>
        <v>0</v>
      </c>
      <c r="N122" s="110">
        <f>COUNTIFS('2nd Innings'!$C$8:$C$18,"Stumped",'2nd Innings'!$D$8:$D$18,VLOOKUP(2,$A$8:$B$18,2,FALSE))</f>
        <v>0</v>
      </c>
      <c r="O122" s="110">
        <f t="shared" ref="O122:O142" si="18">SUM(L122:N122)</f>
        <v>0</v>
      </c>
      <c r="P122" s="110">
        <f t="shared" si="5"/>
        <v>0</v>
      </c>
      <c r="Q122" s="110">
        <f t="shared" ref="Q122:Q142" si="19">COUNTIF(O122,"&gt;4")</f>
        <v>0</v>
      </c>
      <c r="R122" s="110" t="e">
        <f>VLOOKUP(VLOOKUP(2,$A$8:$B$18,2,FALSE),'2nd Innings'!$D$26:$N$36,2,FALSE)</f>
        <v>#N/A</v>
      </c>
      <c r="S122" s="110" t="e">
        <f>VLOOKUP(VLOOKUP(2,$A$8:$B$18,2,FALSE),'2nd Innings'!$D$26:$N$36,3,FALSE)</f>
        <v>#N/A</v>
      </c>
      <c r="T122" s="110" t="e">
        <f>VLOOKUP(VLOOKUP(2,$A$8:$B$18,2,FALSE),'2nd Innings'!$D$26:$N$36,4,FALSE)</f>
        <v>#N/A</v>
      </c>
      <c r="U122" s="110" t="e">
        <f>VLOOKUP(VLOOKUP(2,$A$8:$B$18,2,FALSE),'2nd Innings'!$D$26:$N$36,5,FALSE)</f>
        <v>#N/A</v>
      </c>
      <c r="V122" s="110" t="e">
        <f>VLOOKUP(VLOOKUP(2,$A$8:$B$18,2,FALSE),'2nd Innings'!$D$26:$N$36,6,FALSE)</f>
        <v>#N/A</v>
      </c>
      <c r="W122" s="110" t="e">
        <f>VLOOKUP(VLOOKUP(2,$A$8:$B$18,2,FALSE),'2nd Innings'!$D$26:$N$36,7,FALSE)</f>
        <v>#N/A</v>
      </c>
      <c r="X122" s="110" t="e">
        <f>VLOOKUP(VLOOKUP(2,$A$8:$B$18,2,FALSE),'2nd Innings'!$D$26:$N$36,10,FALSE)</f>
        <v>#N/A</v>
      </c>
      <c r="Y122" s="110" t="e">
        <f>VLOOKUP(VLOOKUP(2,$A$8:$B$18,2,FALSE),'2nd Innings'!$D$26:$N$36,11,FALSE)</f>
        <v>#N/A</v>
      </c>
      <c r="Z122" s="110">
        <f t="shared" si="6"/>
        <v>0</v>
      </c>
      <c r="AA122" s="110">
        <f t="shared" ref="AA122:AA142" si="20">COUNTIF(F122,"&gt;99")</f>
        <v>0</v>
      </c>
      <c r="AB122" s="110">
        <f t="shared" ref="AB122:AB142" si="21">COUNTIF(U122,"&gt;2")-AC122</f>
        <v>0</v>
      </c>
      <c r="AC122" s="110">
        <f t="shared" ref="AC122:AC142" si="22">COUNTIF(U122,"&gt;4")</f>
        <v>0</v>
      </c>
      <c r="AD122" s="111" t="e">
        <f t="shared" si="7"/>
        <v>#DIV/0!</v>
      </c>
      <c r="AE122" s="111" t="e">
        <f t="shared" ref="AE122:AE142" si="23">AD122*200/$AD$143</f>
        <v>#DIV/0!</v>
      </c>
      <c r="AF122" s="112" t="e">
        <f t="shared" ref="AF122:AF142" si="24">AE122+(10*Z122)+(25*AA122)</f>
        <v>#DIV/0!</v>
      </c>
      <c r="AG122" s="113" t="e">
        <f t="shared" si="8"/>
        <v>#N/A</v>
      </c>
      <c r="AH122" s="114">
        <f t="shared" si="9"/>
        <v>0</v>
      </c>
      <c r="AI122" s="115" t="e">
        <f t="shared" ref="AI122:AI142" si="25">SUM(AF122:AH122)+2*COUNTIFS(AS122,"=1",AR122,"=W")+2*COUNTIFS(AR122,"W")+COUNTIFS(AR122,"T")</f>
        <v>#DIV/0!</v>
      </c>
      <c r="AJ122" s="111" t="e">
        <f t="shared" ref="AJ122:AJ142" si="26">100*F122/G122</f>
        <v>#DIV/0!</v>
      </c>
      <c r="AK122" s="111" t="e">
        <f t="shared" ref="AK122:AK142" si="27">$P$26-(($P$26-AJ122)/2)</f>
        <v>#DIV/0!</v>
      </c>
      <c r="AL122" s="116" t="e">
        <f t="shared" si="10"/>
        <v>#N/A</v>
      </c>
      <c r="AM122" s="116" t="e">
        <f>AL122*8</f>
        <v>#N/A</v>
      </c>
      <c r="AN122" s="117" t="e">
        <f>T122/R122</f>
        <v>#N/A</v>
      </c>
      <c r="AO122" s="117" t="e">
        <f>(1-NORMDIST(AN122,$P$32,($P$32/4),TRUE))*(R122/($E$37+'2nd Innings'!$E$37))</f>
        <v>#N/A</v>
      </c>
      <c r="AP122" s="116" t="e">
        <f>(AO122/AO$143)*(200-(8*($H$37+'2nd Innings'!$H$37)))</f>
        <v>#N/A</v>
      </c>
      <c r="AQ122" s="111" t="e">
        <f t="shared" si="11"/>
        <v>#N/A</v>
      </c>
      <c r="AR122" s="110">
        <f t="shared" ref="AR122:AR131" si="28">$F$22</f>
        <v>0</v>
      </c>
      <c r="AS122" s="118">
        <f>IF(A122='2nd Innings'!$C$34,1,0)</f>
        <v>1</v>
      </c>
      <c r="AT122" s="166">
        <f t="shared" ref="AT122:AT131" si="29">B$3</f>
        <v>0</v>
      </c>
      <c r="AU122" s="110">
        <f>COUNTIFS('2nd Innings'!$C$8:$C$18,"caught WK",'2nd Innings'!$D$8:$D$18,VLOOKUP(2,$A$8:$B$18,2,FALSE))+N122</f>
        <v>0</v>
      </c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</row>
    <row r="123" spans="1:72" x14ac:dyDescent="0.25">
      <c r="A123" s="140">
        <f t="shared" si="12"/>
        <v>0</v>
      </c>
      <c r="B123" s="116">
        <f t="shared" si="13"/>
        <v>3</v>
      </c>
      <c r="C123" s="116">
        <v>1</v>
      </c>
      <c r="D123" s="116">
        <f t="shared" si="14"/>
        <v>0</v>
      </c>
      <c r="E123" s="116">
        <f t="shared" si="15"/>
        <v>0</v>
      </c>
      <c r="F123" s="116">
        <f t="shared" ref="F123:G123" si="30">F10</f>
        <v>0</v>
      </c>
      <c r="G123" s="116">
        <f t="shared" si="30"/>
        <v>0</v>
      </c>
      <c r="H123" s="141">
        <f t="shared" ref="H123:J123" si="31">I10</f>
        <v>0</v>
      </c>
      <c r="I123" s="116">
        <f t="shared" si="31"/>
        <v>0</v>
      </c>
      <c r="J123" s="116">
        <f t="shared" si="31"/>
        <v>0</v>
      </c>
      <c r="K123" s="110">
        <f>SUMIF(O$8:O$18,VLOOKUP(3,A$8:B$18,2,FALSE),Q$8:Q$18)+SUMIF(P$8:P$18,VLOOKUP(3,A$8:B$18,2,FALSE),Q$8:Q$18)</f>
        <v>0</v>
      </c>
      <c r="L123" s="110">
        <f>COUNTIFS('2nd Innings'!$C$8:$C$18,"caught",'2nd Innings'!$D$8:$D$18,VLOOKUP(3,$A$8:$B$18,2,FALSE))+COUNTIFS('2nd Innings'!$C$8:$C$18,"caught WK",'2nd Innings'!$D$8:$D$18,VLOOKUP(3,$A$8:$B$18,2,FALSE))</f>
        <v>0</v>
      </c>
      <c r="M123" s="110">
        <f>COUNTIFS('2nd Innings'!$C$8:$C$18,"Run Out",'2nd Innings'!$D$8:$D$18,VLOOKUP(3,$A$8:$B$18,2,FALSE))</f>
        <v>0</v>
      </c>
      <c r="N123" s="110">
        <f>COUNTIFS('2nd Innings'!$C$8:$C$18,"Stumped",'2nd Innings'!$D$8:$D$18,VLOOKUP(3,$A$8:$B$18,2,FALSE))</f>
        <v>0</v>
      </c>
      <c r="O123" s="110">
        <f t="shared" si="18"/>
        <v>0</v>
      </c>
      <c r="P123" s="110">
        <f t="shared" si="5"/>
        <v>0</v>
      </c>
      <c r="Q123" s="110">
        <f t="shared" si="19"/>
        <v>0</v>
      </c>
      <c r="R123" s="110" t="e">
        <f>VLOOKUP(VLOOKUP(3,$A$8:$B$18,2,FALSE),'2nd Innings'!$D$26:$N$36,2,FALSE)</f>
        <v>#N/A</v>
      </c>
      <c r="S123" s="110" t="e">
        <f>VLOOKUP(VLOOKUP(3,$A$8:$B$18,2,FALSE),'2nd Innings'!$D$26:$N$36,3,FALSE)</f>
        <v>#N/A</v>
      </c>
      <c r="T123" s="110" t="e">
        <f>VLOOKUP(VLOOKUP(3,$A$8:$B$18,2,FALSE),'2nd Innings'!$D$26:$N$36,4,FALSE)</f>
        <v>#N/A</v>
      </c>
      <c r="U123" s="110" t="e">
        <f>VLOOKUP(VLOOKUP(3,$A$8:$B$18,2,FALSE),'2nd Innings'!$D$26:$N$36,5,FALSE)</f>
        <v>#N/A</v>
      </c>
      <c r="V123" s="110" t="e">
        <f>VLOOKUP(VLOOKUP(3,$A$8:$B$18,2,FALSE),'2nd Innings'!$D$26:$N$36,6,FALSE)</f>
        <v>#N/A</v>
      </c>
      <c r="W123" s="110" t="e">
        <f>VLOOKUP(VLOOKUP(3,$A$8:$B$18,2,FALSE),'2nd Innings'!$D$26:$N$36,7,FALSE)</f>
        <v>#N/A</v>
      </c>
      <c r="X123" s="110" t="e">
        <f>VLOOKUP(VLOOKUP(3,$A$8:$B$18,2,FALSE),'2nd Innings'!$D$26:$N$36,10,FALSE)</f>
        <v>#N/A</v>
      </c>
      <c r="Y123" s="110" t="e">
        <f>VLOOKUP(VLOOKUP(3,$A$8:$B$18,2,FALSE),'2nd Innings'!$D$26:$N$36,11,FALSE)</f>
        <v>#N/A</v>
      </c>
      <c r="Z123" s="110">
        <f t="shared" si="6"/>
        <v>0</v>
      </c>
      <c r="AA123" s="110">
        <f t="shared" si="20"/>
        <v>0</v>
      </c>
      <c r="AB123" s="110">
        <f t="shared" si="21"/>
        <v>0</v>
      </c>
      <c r="AC123" s="110">
        <f t="shared" si="22"/>
        <v>0</v>
      </c>
      <c r="AD123" s="111" t="e">
        <f t="shared" si="7"/>
        <v>#DIV/0!</v>
      </c>
      <c r="AE123" s="111" t="e">
        <f t="shared" si="23"/>
        <v>#DIV/0!</v>
      </c>
      <c r="AF123" s="112" t="e">
        <f t="shared" si="24"/>
        <v>#DIV/0!</v>
      </c>
      <c r="AG123" s="113" t="e">
        <f t="shared" si="8"/>
        <v>#N/A</v>
      </c>
      <c r="AH123" s="114">
        <f t="shared" si="9"/>
        <v>0</v>
      </c>
      <c r="AI123" s="115" t="e">
        <f t="shared" si="25"/>
        <v>#DIV/0!</v>
      </c>
      <c r="AJ123" s="111" t="e">
        <f t="shared" si="26"/>
        <v>#DIV/0!</v>
      </c>
      <c r="AK123" s="111" t="e">
        <f t="shared" si="27"/>
        <v>#DIV/0!</v>
      </c>
      <c r="AL123" s="116" t="e">
        <f t="shared" si="10"/>
        <v>#N/A</v>
      </c>
      <c r="AM123" s="116" t="e">
        <f t="shared" ref="AM123:AM142" si="32">AL123*8</f>
        <v>#N/A</v>
      </c>
      <c r="AN123" s="117" t="e">
        <f t="shared" ref="AN123:AN142" si="33">T123/R123</f>
        <v>#N/A</v>
      </c>
      <c r="AO123" s="117" t="e">
        <f>(1-NORMDIST(AN123,$P$32,($P$32/4),TRUE))*(R123/($E$37+'2nd Innings'!$E$37))</f>
        <v>#N/A</v>
      </c>
      <c r="AP123" s="116" t="e">
        <f>(AO123/AO$143)*(200-(8*($H$37+'2nd Innings'!$H$37)))</f>
        <v>#N/A</v>
      </c>
      <c r="AQ123" s="111" t="e">
        <f t="shared" si="11"/>
        <v>#N/A</v>
      </c>
      <c r="AR123" s="110">
        <f t="shared" si="28"/>
        <v>0</v>
      </c>
      <c r="AS123" s="118">
        <f>IF(A123='2nd Innings'!$C$34,1,0)</f>
        <v>1</v>
      </c>
      <c r="AT123" s="166">
        <f t="shared" si="29"/>
        <v>0</v>
      </c>
      <c r="AU123" s="110">
        <f>COUNTIFS('2nd Innings'!$C$8:$C$18,"caught WK",'2nd Innings'!$D$8:$D$18,VLOOKUP(3,$A$8:$B$18,2,FALSE))+N123</f>
        <v>0</v>
      </c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</row>
    <row r="124" spans="1:72" x14ac:dyDescent="0.25">
      <c r="A124" s="140">
        <f t="shared" si="12"/>
        <v>0</v>
      </c>
      <c r="B124" s="116">
        <f t="shared" si="13"/>
        <v>4</v>
      </c>
      <c r="C124" s="116">
        <v>1</v>
      </c>
      <c r="D124" s="116">
        <f t="shared" si="14"/>
        <v>0</v>
      </c>
      <c r="E124" s="116">
        <f t="shared" si="15"/>
        <v>0</v>
      </c>
      <c r="F124" s="116">
        <f t="shared" ref="F124:G124" si="34">F11</f>
        <v>0</v>
      </c>
      <c r="G124" s="116">
        <f t="shared" si="34"/>
        <v>0</v>
      </c>
      <c r="H124" s="141">
        <f t="shared" ref="H124:J124" si="35">I11</f>
        <v>0</v>
      </c>
      <c r="I124" s="116">
        <f t="shared" si="35"/>
        <v>0</v>
      </c>
      <c r="J124" s="116">
        <f t="shared" si="35"/>
        <v>0</v>
      </c>
      <c r="K124" s="110">
        <f>SUMIF(O$8:O$18,VLOOKUP(4,A$8:B$18,2,FALSE),Q$8:Q$18)+SUMIF(P$8:P$18,VLOOKUP(4,A$8:B$18,2,FALSE),Q$8:Q$18)</f>
        <v>0</v>
      </c>
      <c r="L124" s="110">
        <f>COUNTIFS('2nd Innings'!$C$8:$C$18,"caught",'2nd Innings'!$D$8:$D$18,VLOOKUP(4,$A$8:$B$18,2,FALSE))+COUNTIFS('2nd Innings'!$C$8:$C$18,"caught WK",'2nd Innings'!$D$8:$D$18,VLOOKUP(4,$A$8:$B$18,2,FALSE))</f>
        <v>0</v>
      </c>
      <c r="M124" s="110">
        <f>COUNTIFS('2nd Innings'!$C$8:$C$18,"Run Out",'2nd Innings'!$D$8:$D$18,VLOOKUP(4,$A$8:$B$18,2,FALSE))</f>
        <v>0</v>
      </c>
      <c r="N124" s="110">
        <f>COUNTIFS('2nd Innings'!$C$8:$C$18,"Stumped",'2nd Innings'!$D$8:$D$18,VLOOKUP(4,$A$8:$B$18,2,FALSE))</f>
        <v>0</v>
      </c>
      <c r="O124" s="110">
        <f t="shared" si="18"/>
        <v>0</v>
      </c>
      <c r="P124" s="110">
        <f t="shared" si="5"/>
        <v>0</v>
      </c>
      <c r="Q124" s="110">
        <f t="shared" si="19"/>
        <v>0</v>
      </c>
      <c r="R124" s="110" t="e">
        <f>VLOOKUP(VLOOKUP(4,$A$8:$B$18,2,FALSE),'2nd Innings'!$D$26:$N$36,2,FALSE)</f>
        <v>#N/A</v>
      </c>
      <c r="S124" s="110" t="e">
        <f>VLOOKUP(VLOOKUP(4,$A$8:$B$18,2,FALSE),'2nd Innings'!$D$26:$N$36,3,FALSE)</f>
        <v>#N/A</v>
      </c>
      <c r="T124" s="110" t="e">
        <f>VLOOKUP(VLOOKUP(4,$A$8:$B$18,2,FALSE),'2nd Innings'!$D$26:$N$36,4,FALSE)</f>
        <v>#N/A</v>
      </c>
      <c r="U124" s="110" t="e">
        <f>VLOOKUP(VLOOKUP(4,$A$8:$B$18,2,FALSE),'2nd Innings'!$D$26:$N$36,5,FALSE)</f>
        <v>#N/A</v>
      </c>
      <c r="V124" s="110" t="e">
        <f>VLOOKUP(VLOOKUP(4,$A$8:$B$18,2,FALSE),'2nd Innings'!$D$26:$N$36,6,FALSE)</f>
        <v>#N/A</v>
      </c>
      <c r="W124" s="110" t="e">
        <f>VLOOKUP(VLOOKUP(4,$A$8:$B$18,2,FALSE),'2nd Innings'!$D$26:$N$36,7,FALSE)</f>
        <v>#N/A</v>
      </c>
      <c r="X124" s="110" t="e">
        <f>VLOOKUP(VLOOKUP(4,$A$8:$B$18,2,FALSE),'2nd Innings'!$D$26:$N$36,10,FALSE)</f>
        <v>#N/A</v>
      </c>
      <c r="Y124" s="110" t="e">
        <f>VLOOKUP(VLOOKUP(4,$A$8:$B$18,2,FALSE),'2nd Innings'!$D$26:$N$36,11,FALSE)</f>
        <v>#N/A</v>
      </c>
      <c r="Z124" s="110">
        <f t="shared" si="6"/>
        <v>0</v>
      </c>
      <c r="AA124" s="110">
        <f t="shared" si="20"/>
        <v>0</v>
      </c>
      <c r="AB124" s="110">
        <f t="shared" si="21"/>
        <v>0</v>
      </c>
      <c r="AC124" s="110">
        <f t="shared" si="22"/>
        <v>0</v>
      </c>
      <c r="AD124" s="111" t="e">
        <f t="shared" si="7"/>
        <v>#DIV/0!</v>
      </c>
      <c r="AE124" s="111" t="e">
        <f t="shared" si="23"/>
        <v>#DIV/0!</v>
      </c>
      <c r="AF124" s="112" t="e">
        <f t="shared" si="24"/>
        <v>#DIV/0!</v>
      </c>
      <c r="AG124" s="113" t="e">
        <f t="shared" si="8"/>
        <v>#N/A</v>
      </c>
      <c r="AH124" s="114">
        <f t="shared" si="9"/>
        <v>0</v>
      </c>
      <c r="AI124" s="115" t="e">
        <f t="shared" si="25"/>
        <v>#DIV/0!</v>
      </c>
      <c r="AJ124" s="111" t="e">
        <f t="shared" si="26"/>
        <v>#DIV/0!</v>
      </c>
      <c r="AK124" s="111" t="e">
        <f t="shared" si="27"/>
        <v>#DIV/0!</v>
      </c>
      <c r="AL124" s="116" t="e">
        <f t="shared" si="10"/>
        <v>#N/A</v>
      </c>
      <c r="AM124" s="116" t="e">
        <f t="shared" si="32"/>
        <v>#N/A</v>
      </c>
      <c r="AN124" s="117" t="e">
        <f t="shared" si="33"/>
        <v>#N/A</v>
      </c>
      <c r="AO124" s="117" t="e">
        <f>(1-NORMDIST(AN124,$P$32,($P$32/4),TRUE))*(R124/($E$37+'2nd Innings'!$E$37))</f>
        <v>#N/A</v>
      </c>
      <c r="AP124" s="116" t="e">
        <f>(AO124/AO$143)*(200-(8*($H$37+'2nd Innings'!$H$37)))</f>
        <v>#N/A</v>
      </c>
      <c r="AQ124" s="111" t="e">
        <f t="shared" si="11"/>
        <v>#N/A</v>
      </c>
      <c r="AR124" s="110">
        <f t="shared" si="28"/>
        <v>0</v>
      </c>
      <c r="AS124" s="118">
        <f>IF(A124='2nd Innings'!$C$34,1,0)</f>
        <v>1</v>
      </c>
      <c r="AT124" s="166">
        <f t="shared" si="29"/>
        <v>0</v>
      </c>
      <c r="AU124" s="110">
        <f>COUNTIFS('2nd Innings'!$C$8:$C$18,"caught WK",'2nd Innings'!$D$8:$D$18,VLOOKUP(4,$A$8:$B$18,2,FALSE))+N124</f>
        <v>0</v>
      </c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</row>
    <row r="125" spans="1:72" x14ac:dyDescent="0.25">
      <c r="A125" s="140">
        <f t="shared" si="12"/>
        <v>0</v>
      </c>
      <c r="B125" s="116">
        <f t="shared" si="13"/>
        <v>5</v>
      </c>
      <c r="C125" s="116">
        <v>1</v>
      </c>
      <c r="D125" s="116">
        <f t="shared" si="14"/>
        <v>0</v>
      </c>
      <c r="E125" s="116">
        <f t="shared" si="15"/>
        <v>0</v>
      </c>
      <c r="F125" s="116">
        <f t="shared" ref="F125:G125" si="36">F12</f>
        <v>0</v>
      </c>
      <c r="G125" s="116">
        <f t="shared" si="36"/>
        <v>0</v>
      </c>
      <c r="H125" s="141">
        <f t="shared" ref="H125:J125" si="37">I12</f>
        <v>0</v>
      </c>
      <c r="I125" s="116">
        <f t="shared" si="37"/>
        <v>0</v>
      </c>
      <c r="J125" s="116">
        <f t="shared" si="37"/>
        <v>0</v>
      </c>
      <c r="K125" s="110">
        <f>SUMIF(O$8:O$18,VLOOKUP(5,A$8:B$18,2,FALSE),Q$8:Q$18)+SUMIF(P$8:P$18,VLOOKUP(5,A$8:B$18,2,FALSE),Q$8:Q$18)</f>
        <v>0</v>
      </c>
      <c r="L125" s="110">
        <f>COUNTIFS('2nd Innings'!$C$8:$C$18,"caught",'2nd Innings'!$D$8:$D$18,VLOOKUP(5,$A$8:$B$18,2,FALSE))+COUNTIFS('2nd Innings'!$C$8:$C$18,"caught WK",'2nd Innings'!$D$8:$D$18,VLOOKUP(5,$A$8:$B$18,2,FALSE))</f>
        <v>0</v>
      </c>
      <c r="M125" s="110">
        <f>COUNTIFS('2nd Innings'!$C$8:$C$18,"Run Out",'2nd Innings'!$D$8:$D$18,VLOOKUP(5,$A$8:$B$18,2,FALSE))</f>
        <v>0</v>
      </c>
      <c r="N125" s="110">
        <f>COUNTIFS('2nd Innings'!$C$8:$C$18,"Stumped",'2nd Innings'!$D$8:$D$18,VLOOKUP(5,$A$8:$B$18,2,FALSE))</f>
        <v>0</v>
      </c>
      <c r="O125" s="110">
        <f t="shared" si="18"/>
        <v>0</v>
      </c>
      <c r="P125" s="110">
        <f t="shared" si="5"/>
        <v>0</v>
      </c>
      <c r="Q125" s="110">
        <f t="shared" si="19"/>
        <v>0</v>
      </c>
      <c r="R125" s="110" t="e">
        <f>VLOOKUP(VLOOKUP(5,$A$8:$B$18,2,FALSE),'2nd Innings'!$D$26:$N$36,2,FALSE)</f>
        <v>#N/A</v>
      </c>
      <c r="S125" s="110" t="e">
        <f>VLOOKUP(VLOOKUP(5,$A$8:$B$18,2,FALSE),'2nd Innings'!$D$26:$N$36,3,FALSE)</f>
        <v>#N/A</v>
      </c>
      <c r="T125" s="110" t="e">
        <f>VLOOKUP(VLOOKUP(5,$A$8:$B$18,2,FALSE),'2nd Innings'!$D$26:$N$36,4,FALSE)</f>
        <v>#N/A</v>
      </c>
      <c r="U125" s="110" t="e">
        <f>VLOOKUP(VLOOKUP(5,$A$8:$B$18,2,FALSE),'2nd Innings'!$D$26:$N$36,5,FALSE)</f>
        <v>#N/A</v>
      </c>
      <c r="V125" s="110" t="e">
        <f>VLOOKUP(VLOOKUP(5,$A$8:$B$18,2,FALSE),'2nd Innings'!$D$26:$N$36,6,FALSE)</f>
        <v>#N/A</v>
      </c>
      <c r="W125" s="110" t="e">
        <f>VLOOKUP(VLOOKUP(5,$A$8:$B$18,2,FALSE),'2nd Innings'!$D$26:$N$36,7,FALSE)</f>
        <v>#N/A</v>
      </c>
      <c r="X125" s="110" t="e">
        <f>VLOOKUP(VLOOKUP(5,$A$8:$B$18,2,FALSE),'2nd Innings'!$D$26:$N$36,10,FALSE)</f>
        <v>#N/A</v>
      </c>
      <c r="Y125" s="110" t="e">
        <f>VLOOKUP(VLOOKUP(5,$A$8:$B$18,2,FALSE),'2nd Innings'!$D$26:$N$36,11,FALSE)</f>
        <v>#N/A</v>
      </c>
      <c r="Z125" s="110">
        <f t="shared" si="6"/>
        <v>0</v>
      </c>
      <c r="AA125" s="110">
        <f t="shared" si="20"/>
        <v>0</v>
      </c>
      <c r="AB125" s="110">
        <f t="shared" si="21"/>
        <v>0</v>
      </c>
      <c r="AC125" s="110">
        <f t="shared" si="22"/>
        <v>0</v>
      </c>
      <c r="AD125" s="111" t="e">
        <f t="shared" si="7"/>
        <v>#DIV/0!</v>
      </c>
      <c r="AE125" s="111" t="e">
        <f t="shared" si="23"/>
        <v>#DIV/0!</v>
      </c>
      <c r="AF125" s="112" t="e">
        <f t="shared" si="24"/>
        <v>#DIV/0!</v>
      </c>
      <c r="AG125" s="113" t="e">
        <f t="shared" si="8"/>
        <v>#N/A</v>
      </c>
      <c r="AH125" s="114">
        <f t="shared" si="9"/>
        <v>0</v>
      </c>
      <c r="AI125" s="115" t="e">
        <f t="shared" si="25"/>
        <v>#DIV/0!</v>
      </c>
      <c r="AJ125" s="111" t="e">
        <f t="shared" si="26"/>
        <v>#DIV/0!</v>
      </c>
      <c r="AK125" s="111" t="e">
        <f t="shared" si="27"/>
        <v>#DIV/0!</v>
      </c>
      <c r="AL125" s="116" t="e">
        <f t="shared" si="10"/>
        <v>#N/A</v>
      </c>
      <c r="AM125" s="116" t="e">
        <f t="shared" si="32"/>
        <v>#N/A</v>
      </c>
      <c r="AN125" s="117" t="e">
        <f t="shared" si="33"/>
        <v>#N/A</v>
      </c>
      <c r="AO125" s="117" t="e">
        <f>(1-NORMDIST(AN125,$P$32,($P$32/4),TRUE))*(R125/($E$37+'2nd Innings'!$E$37))</f>
        <v>#N/A</v>
      </c>
      <c r="AP125" s="116" t="e">
        <f>(AO125/AO$143)*(200-(8*($H$37+'2nd Innings'!$H$37)))</f>
        <v>#N/A</v>
      </c>
      <c r="AQ125" s="111" t="e">
        <f t="shared" si="11"/>
        <v>#N/A</v>
      </c>
      <c r="AR125" s="110">
        <f t="shared" si="28"/>
        <v>0</v>
      </c>
      <c r="AS125" s="118">
        <f>IF(A125='2nd Innings'!$C$34,1,0)</f>
        <v>1</v>
      </c>
      <c r="AT125" s="166">
        <f t="shared" si="29"/>
        <v>0</v>
      </c>
      <c r="AU125" s="110">
        <f>COUNTIFS('2nd Innings'!$C$8:$C$18,"caught WK",'2nd Innings'!$D$8:$D$18,VLOOKUP(5,$A$8:$B$18,2,FALSE))+N125</f>
        <v>0</v>
      </c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</row>
    <row r="126" spans="1:72" x14ac:dyDescent="0.25">
      <c r="A126" s="140">
        <f t="shared" si="12"/>
        <v>0</v>
      </c>
      <c r="B126" s="116">
        <f t="shared" si="13"/>
        <v>6</v>
      </c>
      <c r="C126" s="116">
        <v>1</v>
      </c>
      <c r="D126" s="116">
        <f t="shared" si="14"/>
        <v>0</v>
      </c>
      <c r="E126" s="116">
        <f t="shared" si="15"/>
        <v>0</v>
      </c>
      <c r="F126" s="116">
        <f t="shared" ref="F126:G126" si="38">F13</f>
        <v>0</v>
      </c>
      <c r="G126" s="116">
        <f t="shared" si="38"/>
        <v>0</v>
      </c>
      <c r="H126" s="141">
        <f t="shared" ref="H126:J126" si="39">I13</f>
        <v>0</v>
      </c>
      <c r="I126" s="116">
        <f t="shared" si="39"/>
        <v>0</v>
      </c>
      <c r="J126" s="116">
        <f t="shared" si="39"/>
        <v>0</v>
      </c>
      <c r="K126" s="110">
        <f>SUMIF(O$8:O$18,VLOOKUP(6,A$8:B$18,2,FALSE),Q$8:Q$18)+SUMIF(P$8:P$18,VLOOKUP(6,A$8:B$18,2,FALSE),Q$8:Q$18)</f>
        <v>0</v>
      </c>
      <c r="L126" s="110">
        <f>COUNTIFS('2nd Innings'!$C$8:$C$18,"caught",'2nd Innings'!$D$8:$D$18,VLOOKUP(6,$A$8:$B$18,2,FALSE))+COUNTIFS('2nd Innings'!$C$8:$C$18,"caught WK",'2nd Innings'!$D$8:$D$18,VLOOKUP(6,$A$8:$B$18,2,FALSE))</f>
        <v>0</v>
      </c>
      <c r="M126" s="110">
        <f>COUNTIFS('2nd Innings'!$C$8:$C$18,"Run Out",'2nd Innings'!$D$8:$D$18,VLOOKUP(6,$A$8:$B$18,2,FALSE))</f>
        <v>0</v>
      </c>
      <c r="N126" s="110">
        <f>COUNTIFS('2nd Innings'!$C$8:$C$18,"Stumped",'2nd Innings'!$D$8:$D$18,VLOOKUP(6,$A$8:$B$18,2,FALSE))</f>
        <v>0</v>
      </c>
      <c r="O126" s="110">
        <f t="shared" si="18"/>
        <v>0</v>
      </c>
      <c r="P126" s="110">
        <f t="shared" si="5"/>
        <v>0</v>
      </c>
      <c r="Q126" s="110">
        <f t="shared" si="19"/>
        <v>0</v>
      </c>
      <c r="R126" s="110" t="e">
        <f>VLOOKUP(VLOOKUP(6,$A$8:$B$18,2,FALSE),'2nd Innings'!$D$26:$N$36,2,FALSE)</f>
        <v>#N/A</v>
      </c>
      <c r="S126" s="110" t="e">
        <f>VLOOKUP(VLOOKUP(6,$A$8:$B$18,2,FALSE),'2nd Innings'!$D$26:$N$36,3,FALSE)</f>
        <v>#N/A</v>
      </c>
      <c r="T126" s="110" t="e">
        <f>VLOOKUP(VLOOKUP(6,$A$8:$B$18,2,FALSE),'2nd Innings'!$D$26:$N$36,4,FALSE)</f>
        <v>#N/A</v>
      </c>
      <c r="U126" s="110" t="e">
        <f>VLOOKUP(VLOOKUP(6,$A$8:$B$18,2,FALSE),'2nd Innings'!$D$26:$N$36,5,FALSE)</f>
        <v>#N/A</v>
      </c>
      <c r="V126" s="110" t="e">
        <f>VLOOKUP(VLOOKUP(6,$A$8:$B$18,2,FALSE),'2nd Innings'!$D$26:$N$36,6,FALSE)</f>
        <v>#N/A</v>
      </c>
      <c r="W126" s="110" t="e">
        <f>VLOOKUP(VLOOKUP(6,$A$8:$B$18,2,FALSE),'2nd Innings'!$D$26:$N$36,7,FALSE)</f>
        <v>#N/A</v>
      </c>
      <c r="X126" s="110" t="e">
        <f>VLOOKUP(VLOOKUP(6,$A$8:$B$18,2,FALSE),'2nd Innings'!$D$26:$N$36,10,FALSE)</f>
        <v>#N/A</v>
      </c>
      <c r="Y126" s="110" t="e">
        <f>VLOOKUP(VLOOKUP(6,$A$8:$B$18,2,FALSE),'2nd Innings'!$D$26:$N$36,11,FALSE)</f>
        <v>#N/A</v>
      </c>
      <c r="Z126" s="110">
        <f t="shared" si="6"/>
        <v>0</v>
      </c>
      <c r="AA126" s="110">
        <f t="shared" si="20"/>
        <v>0</v>
      </c>
      <c r="AB126" s="110">
        <f t="shared" si="21"/>
        <v>0</v>
      </c>
      <c r="AC126" s="110">
        <f t="shared" si="22"/>
        <v>0</v>
      </c>
      <c r="AD126" s="111" t="e">
        <f t="shared" si="7"/>
        <v>#DIV/0!</v>
      </c>
      <c r="AE126" s="111" t="e">
        <f t="shared" si="23"/>
        <v>#DIV/0!</v>
      </c>
      <c r="AF126" s="112" t="e">
        <f t="shared" si="24"/>
        <v>#DIV/0!</v>
      </c>
      <c r="AG126" s="113" t="e">
        <f t="shared" si="8"/>
        <v>#N/A</v>
      </c>
      <c r="AH126" s="114">
        <f t="shared" si="9"/>
        <v>0</v>
      </c>
      <c r="AI126" s="115" t="e">
        <f t="shared" si="25"/>
        <v>#DIV/0!</v>
      </c>
      <c r="AJ126" s="111" t="e">
        <f t="shared" si="26"/>
        <v>#DIV/0!</v>
      </c>
      <c r="AK126" s="111" t="e">
        <f t="shared" si="27"/>
        <v>#DIV/0!</v>
      </c>
      <c r="AL126" s="116" t="e">
        <f t="shared" si="10"/>
        <v>#N/A</v>
      </c>
      <c r="AM126" s="116" t="e">
        <f t="shared" si="32"/>
        <v>#N/A</v>
      </c>
      <c r="AN126" s="117" t="e">
        <f t="shared" si="33"/>
        <v>#N/A</v>
      </c>
      <c r="AO126" s="117" t="e">
        <f>(1-NORMDIST(AN126,$P$32,($P$32/4),TRUE))*(R126/($E$37+'2nd Innings'!$E$37))</f>
        <v>#N/A</v>
      </c>
      <c r="AP126" s="116" t="e">
        <f>(AO126/AO$143)*(200-(8*($H$37+'2nd Innings'!$H$37)))</f>
        <v>#N/A</v>
      </c>
      <c r="AQ126" s="111" t="e">
        <f t="shared" si="11"/>
        <v>#N/A</v>
      </c>
      <c r="AR126" s="110">
        <f t="shared" si="28"/>
        <v>0</v>
      </c>
      <c r="AS126" s="118">
        <f>IF(A126='2nd Innings'!$C$34,1,0)</f>
        <v>1</v>
      </c>
      <c r="AT126" s="166">
        <f t="shared" si="29"/>
        <v>0</v>
      </c>
      <c r="AU126" s="110">
        <f>COUNTIFS('2nd Innings'!$C$8:$C$18,"caught WK",'2nd Innings'!$D$8:$D$18,VLOOKUP(6,$A$8:$B$18,2,FALSE))+N126</f>
        <v>0</v>
      </c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</row>
    <row r="127" spans="1:72" x14ac:dyDescent="0.25">
      <c r="A127" s="140">
        <f t="shared" si="12"/>
        <v>0</v>
      </c>
      <c r="B127" s="116">
        <f t="shared" si="13"/>
        <v>7</v>
      </c>
      <c r="C127" s="116">
        <v>1</v>
      </c>
      <c r="D127" s="116">
        <f t="shared" si="14"/>
        <v>0</v>
      </c>
      <c r="E127" s="116">
        <f t="shared" si="15"/>
        <v>0</v>
      </c>
      <c r="F127" s="116">
        <f t="shared" ref="F127:G127" si="40">F14</f>
        <v>0</v>
      </c>
      <c r="G127" s="116">
        <f t="shared" si="40"/>
        <v>0</v>
      </c>
      <c r="H127" s="141">
        <f t="shared" ref="H127:J127" si="41">I14</f>
        <v>0</v>
      </c>
      <c r="I127" s="116">
        <f t="shared" si="41"/>
        <v>0</v>
      </c>
      <c r="J127" s="116">
        <f t="shared" si="41"/>
        <v>0</v>
      </c>
      <c r="K127" s="110">
        <f>SUMIF(O$8:O$18,VLOOKUP(7,A$8:B$18,2,FALSE),Q$8:Q$18)+SUMIF(P$8:P$18,VLOOKUP(7,A$8:B$18,2,FALSE),Q$8:Q$18)</f>
        <v>0</v>
      </c>
      <c r="L127" s="110">
        <f>COUNTIFS('2nd Innings'!$C$8:$C$18,"caught",'2nd Innings'!$D$8:$D$18,VLOOKUP(7,$A$8:$B$18,2,FALSE))+COUNTIFS('2nd Innings'!$C$8:$C$18,"caught WK",'2nd Innings'!$D$8:$D$18,VLOOKUP(7,$A$8:$B$18,2,FALSE))</f>
        <v>0</v>
      </c>
      <c r="M127" s="110">
        <f>COUNTIFS('2nd Innings'!$C$8:$C$18,"Run Out",'2nd Innings'!$D$8:$D$18,VLOOKUP(7,$A$8:$B$18,2,FALSE))</f>
        <v>0</v>
      </c>
      <c r="N127" s="110">
        <f>COUNTIFS('2nd Innings'!$C$8:$C$18,"Stumped",'2nd Innings'!$D$8:$D$18,VLOOKUP(7,$A$8:$B$18,2,FALSE))</f>
        <v>0</v>
      </c>
      <c r="O127" s="110">
        <f t="shared" si="18"/>
        <v>0</v>
      </c>
      <c r="P127" s="110">
        <f t="shared" si="5"/>
        <v>0</v>
      </c>
      <c r="Q127" s="110">
        <f t="shared" si="19"/>
        <v>0</v>
      </c>
      <c r="R127" s="110" t="e">
        <f>VLOOKUP(VLOOKUP(7,$A$8:$B$18,2,FALSE),'2nd Innings'!$D$26:$N$36,2,FALSE)</f>
        <v>#N/A</v>
      </c>
      <c r="S127" s="110" t="e">
        <f>VLOOKUP(VLOOKUP(7,$A$8:$B$18,2,FALSE),'2nd Innings'!$D$26:$N$36,3,FALSE)</f>
        <v>#N/A</v>
      </c>
      <c r="T127" s="110" t="e">
        <f>VLOOKUP(VLOOKUP(7,$A$8:$B$18,2,FALSE),'2nd Innings'!$D$26:$N$36,4,FALSE)</f>
        <v>#N/A</v>
      </c>
      <c r="U127" s="110" t="e">
        <f>VLOOKUP(VLOOKUP(7,$A$8:$B$18,2,FALSE),'2nd Innings'!$D$26:$N$36,5,FALSE)</f>
        <v>#N/A</v>
      </c>
      <c r="V127" s="110" t="e">
        <f>VLOOKUP(VLOOKUP(7,$A$8:$B$18,2,FALSE),'2nd Innings'!$D$26:$N$36,6,FALSE)</f>
        <v>#N/A</v>
      </c>
      <c r="W127" s="110" t="e">
        <f>VLOOKUP(VLOOKUP(7,$A$8:$B$18,2,FALSE),'2nd Innings'!$D$26:$N$36,7,FALSE)</f>
        <v>#N/A</v>
      </c>
      <c r="X127" s="110" t="e">
        <f>VLOOKUP(VLOOKUP(7,$A$8:$B$18,2,FALSE),'2nd Innings'!$D$26:$N$36,10,FALSE)</f>
        <v>#N/A</v>
      </c>
      <c r="Y127" s="110" t="e">
        <f>VLOOKUP(VLOOKUP(7,$A$8:$B$18,2,FALSE),'2nd Innings'!$D$26:$N$36,11,FALSE)</f>
        <v>#N/A</v>
      </c>
      <c r="Z127" s="110">
        <f t="shared" si="6"/>
        <v>0</v>
      </c>
      <c r="AA127" s="110">
        <f t="shared" si="20"/>
        <v>0</v>
      </c>
      <c r="AB127" s="110">
        <f t="shared" si="21"/>
        <v>0</v>
      </c>
      <c r="AC127" s="110">
        <f t="shared" si="22"/>
        <v>0</v>
      </c>
      <c r="AD127" s="111" t="e">
        <f t="shared" si="7"/>
        <v>#DIV/0!</v>
      </c>
      <c r="AE127" s="111" t="e">
        <f t="shared" si="23"/>
        <v>#DIV/0!</v>
      </c>
      <c r="AF127" s="112" t="e">
        <f t="shared" si="24"/>
        <v>#DIV/0!</v>
      </c>
      <c r="AG127" s="113" t="e">
        <f t="shared" si="8"/>
        <v>#N/A</v>
      </c>
      <c r="AH127" s="114">
        <f t="shared" si="9"/>
        <v>0</v>
      </c>
      <c r="AI127" s="115" t="e">
        <f t="shared" si="25"/>
        <v>#DIV/0!</v>
      </c>
      <c r="AJ127" s="111" t="e">
        <f t="shared" ref="AJ127:AJ131" si="42">100*F127/G127</f>
        <v>#DIV/0!</v>
      </c>
      <c r="AK127" s="111" t="e">
        <f t="shared" ref="AK127:AK131" si="43">$P$26-(($P$26-AJ127)/2)</f>
        <v>#DIV/0!</v>
      </c>
      <c r="AL127" s="116" t="e">
        <f t="shared" si="10"/>
        <v>#N/A</v>
      </c>
      <c r="AM127" s="116" t="e">
        <f t="shared" si="32"/>
        <v>#N/A</v>
      </c>
      <c r="AN127" s="117" t="e">
        <f t="shared" si="33"/>
        <v>#N/A</v>
      </c>
      <c r="AO127" s="117" t="e">
        <f>(1-NORMDIST(AN127,$P$32,($P$32/4),TRUE))*(R127/($E$37+'2nd Innings'!$E$37))</f>
        <v>#N/A</v>
      </c>
      <c r="AP127" s="116" t="e">
        <f>(AO127/AO$143)*(200-(8*($H$37+'2nd Innings'!$H$37)))</f>
        <v>#N/A</v>
      </c>
      <c r="AQ127" s="111" t="e">
        <f t="shared" si="11"/>
        <v>#N/A</v>
      </c>
      <c r="AR127" s="110">
        <f t="shared" si="28"/>
        <v>0</v>
      </c>
      <c r="AS127" s="118">
        <f>IF(A127='2nd Innings'!$C$34,1,0)</f>
        <v>1</v>
      </c>
      <c r="AT127" s="166">
        <f t="shared" si="29"/>
        <v>0</v>
      </c>
      <c r="AU127" s="110">
        <f>COUNTIFS('2nd Innings'!$C$8:$C$18,"caught WK",'2nd Innings'!$D$8:$D$18,VLOOKUP(7,$A$8:$B$18,2,FALSE))+N127</f>
        <v>0</v>
      </c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</row>
    <row r="128" spans="1:72" x14ac:dyDescent="0.25">
      <c r="A128" s="140">
        <f t="shared" si="12"/>
        <v>0</v>
      </c>
      <c r="B128" s="116">
        <f t="shared" si="13"/>
        <v>8</v>
      </c>
      <c r="C128" s="116">
        <v>1</v>
      </c>
      <c r="D128" s="116">
        <f t="shared" si="14"/>
        <v>0</v>
      </c>
      <c r="E128" s="116">
        <f t="shared" si="15"/>
        <v>0</v>
      </c>
      <c r="F128" s="116">
        <f t="shared" ref="F128:G128" si="44">F15</f>
        <v>0</v>
      </c>
      <c r="G128" s="116">
        <f t="shared" si="44"/>
        <v>0</v>
      </c>
      <c r="H128" s="141">
        <f t="shared" ref="H128:J128" si="45">I15</f>
        <v>0</v>
      </c>
      <c r="I128" s="116">
        <f t="shared" si="45"/>
        <v>0</v>
      </c>
      <c r="J128" s="116">
        <f t="shared" si="45"/>
        <v>0</v>
      </c>
      <c r="K128" s="110">
        <f>SUMIF(O$8:O$18,VLOOKUP(8,A$8:B$18,2,FALSE),Q$8:Q$18)+SUMIF(P$8:P$18,VLOOKUP(8,A$8:B$18,2,FALSE),Q$8:Q$18)</f>
        <v>0</v>
      </c>
      <c r="L128" s="110">
        <f>COUNTIFS('2nd Innings'!$C$8:$C$18,"caught",'2nd Innings'!$D$8:$D$18,VLOOKUP(8,$A$8:$B$18,2,FALSE))+COUNTIFS('2nd Innings'!$C$8:$C$18,"caught WK",'2nd Innings'!$D$8:$D$18,VLOOKUP(8,$A$8:$B$18,2,FALSE))</f>
        <v>0</v>
      </c>
      <c r="M128" s="110">
        <f>COUNTIFS('2nd Innings'!$C$8:$C$18,"Run Out",'2nd Innings'!$D$8:$D$18,VLOOKUP(8,$A$8:$B$18,2,FALSE))</f>
        <v>0</v>
      </c>
      <c r="N128" s="110">
        <f>COUNTIFS('2nd Innings'!$C$8:$C$18,"Stumped",'2nd Innings'!$D$8:$D$18,VLOOKUP(8,$A$8:$B$18,2,FALSE))</f>
        <v>0</v>
      </c>
      <c r="O128" s="110">
        <f t="shared" si="18"/>
        <v>0</v>
      </c>
      <c r="P128" s="110">
        <f t="shared" si="5"/>
        <v>0</v>
      </c>
      <c r="Q128" s="110">
        <f t="shared" si="19"/>
        <v>0</v>
      </c>
      <c r="R128" s="110" t="e">
        <f>VLOOKUP(VLOOKUP(8,$A$8:$B$18,2,FALSE),'2nd Innings'!$D$26:$N$36,2,FALSE)</f>
        <v>#N/A</v>
      </c>
      <c r="S128" s="110" t="e">
        <f>VLOOKUP(VLOOKUP(8,$A$8:$B$18,2,FALSE),'2nd Innings'!$D$26:$N$36,3,FALSE)</f>
        <v>#N/A</v>
      </c>
      <c r="T128" s="110" t="e">
        <f>VLOOKUP(VLOOKUP(8,$A$8:$B$18,2,FALSE),'2nd Innings'!$D$26:$N$36,4,FALSE)</f>
        <v>#N/A</v>
      </c>
      <c r="U128" s="110" t="e">
        <f>VLOOKUP(VLOOKUP(8,$A$8:$B$18,2,FALSE),'2nd Innings'!$D$26:$N$36,5,FALSE)</f>
        <v>#N/A</v>
      </c>
      <c r="V128" s="110" t="e">
        <f>VLOOKUP(VLOOKUP(8,$A$8:$B$18,2,FALSE),'2nd Innings'!$D$26:$N$36,6,FALSE)</f>
        <v>#N/A</v>
      </c>
      <c r="W128" s="110" t="e">
        <f>VLOOKUP(VLOOKUP(8,$A$8:$B$18,2,FALSE),'2nd Innings'!$D$26:$N$36,7,FALSE)</f>
        <v>#N/A</v>
      </c>
      <c r="X128" s="110" t="e">
        <f>VLOOKUP(VLOOKUP(8,$A$8:$B$18,2,FALSE),'2nd Innings'!$D$26:$N$36,10,FALSE)</f>
        <v>#N/A</v>
      </c>
      <c r="Y128" s="110" t="e">
        <f>VLOOKUP(VLOOKUP(8,$A$8:$B$18,2,FALSE),'2nd Innings'!$D$26:$N$36,11,FALSE)</f>
        <v>#N/A</v>
      </c>
      <c r="Z128" s="110">
        <f t="shared" si="6"/>
        <v>0</v>
      </c>
      <c r="AA128" s="110">
        <f t="shared" si="20"/>
        <v>0</v>
      </c>
      <c r="AB128" s="110">
        <f t="shared" si="21"/>
        <v>0</v>
      </c>
      <c r="AC128" s="110">
        <f t="shared" si="22"/>
        <v>0</v>
      </c>
      <c r="AD128" s="111" t="e">
        <f t="shared" si="7"/>
        <v>#DIV/0!</v>
      </c>
      <c r="AE128" s="111" t="e">
        <f t="shared" si="23"/>
        <v>#DIV/0!</v>
      </c>
      <c r="AF128" s="112" t="e">
        <f t="shared" si="24"/>
        <v>#DIV/0!</v>
      </c>
      <c r="AG128" s="113" t="e">
        <f t="shared" si="8"/>
        <v>#N/A</v>
      </c>
      <c r="AH128" s="114">
        <f t="shared" si="9"/>
        <v>0</v>
      </c>
      <c r="AI128" s="115" t="e">
        <f t="shared" si="25"/>
        <v>#DIV/0!</v>
      </c>
      <c r="AJ128" s="111" t="e">
        <f t="shared" si="42"/>
        <v>#DIV/0!</v>
      </c>
      <c r="AK128" s="111" t="e">
        <f t="shared" si="43"/>
        <v>#DIV/0!</v>
      </c>
      <c r="AL128" s="116" t="e">
        <f t="shared" si="10"/>
        <v>#N/A</v>
      </c>
      <c r="AM128" s="116" t="e">
        <f t="shared" si="32"/>
        <v>#N/A</v>
      </c>
      <c r="AN128" s="117" t="e">
        <f t="shared" si="33"/>
        <v>#N/A</v>
      </c>
      <c r="AO128" s="117" t="e">
        <f>(1-NORMDIST(AN128,$P$32,($P$32/4),TRUE))*(R128/($E$37+'2nd Innings'!$E$37))</f>
        <v>#N/A</v>
      </c>
      <c r="AP128" s="116" t="e">
        <f>(AO128/AO$143)*(200-(8*($H$37+'2nd Innings'!$H$37)))</f>
        <v>#N/A</v>
      </c>
      <c r="AQ128" s="111" t="e">
        <f t="shared" si="11"/>
        <v>#N/A</v>
      </c>
      <c r="AR128" s="110">
        <f t="shared" si="28"/>
        <v>0</v>
      </c>
      <c r="AS128" s="118">
        <f>IF(A128='2nd Innings'!$C$34,1,0)</f>
        <v>1</v>
      </c>
      <c r="AT128" s="166">
        <f t="shared" si="29"/>
        <v>0</v>
      </c>
      <c r="AU128" s="110">
        <f>COUNTIFS('2nd Innings'!$C$8:$C$18,"caught WK",'2nd Innings'!$D$8:$D$18,VLOOKUP(8,$A$8:$B$18,2,FALSE))+N128</f>
        <v>0</v>
      </c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</row>
    <row r="129" spans="1:72" x14ac:dyDescent="0.25">
      <c r="A129" s="140">
        <f t="shared" si="12"/>
        <v>0</v>
      </c>
      <c r="B129" s="116">
        <f t="shared" si="13"/>
        <v>9</v>
      </c>
      <c r="C129" s="116">
        <v>1</v>
      </c>
      <c r="D129" s="116">
        <f t="shared" si="14"/>
        <v>0</v>
      </c>
      <c r="E129" s="116">
        <f t="shared" si="15"/>
        <v>0</v>
      </c>
      <c r="F129" s="116">
        <f t="shared" ref="F129:G129" si="46">F16</f>
        <v>0</v>
      </c>
      <c r="G129" s="116">
        <f t="shared" si="46"/>
        <v>0</v>
      </c>
      <c r="H129" s="141">
        <f t="shared" ref="H129:J129" si="47">I16</f>
        <v>0</v>
      </c>
      <c r="I129" s="116">
        <f t="shared" si="47"/>
        <v>0</v>
      </c>
      <c r="J129" s="116">
        <f t="shared" si="47"/>
        <v>0</v>
      </c>
      <c r="K129" s="110">
        <f>SUMIF(O$8:O$18,VLOOKUP(9,A$8:B$18,2,FALSE),Q$8:Q$18)+SUMIF(P$8:P$18,VLOOKUP(9,A$8:B$18,2,FALSE),Q$8:Q$18)</f>
        <v>0</v>
      </c>
      <c r="L129" s="110">
        <f>COUNTIFS('2nd Innings'!$C$8:$C$18,"caught",'2nd Innings'!$D$8:$D$18,VLOOKUP(9,$A$8:$B$18,2,FALSE))+COUNTIFS('2nd Innings'!$C$8:$C$18,"caught WK",'2nd Innings'!$D$8:$D$18,VLOOKUP(9,$A$8:$B$18,2,FALSE))</f>
        <v>0</v>
      </c>
      <c r="M129" s="110">
        <f>COUNTIFS('2nd Innings'!$C$8:$C$18,"Run Out",'2nd Innings'!$D$8:$D$18,VLOOKUP(9,$A$8:$B$18,2,FALSE))</f>
        <v>0</v>
      </c>
      <c r="N129" s="110">
        <f>COUNTIFS('2nd Innings'!$C$8:$C$18,"Stumped",'2nd Innings'!$D$8:$D$18,VLOOKUP(9,$A$8:$B$18,2,FALSE))</f>
        <v>0</v>
      </c>
      <c r="O129" s="110">
        <f t="shared" si="18"/>
        <v>0</v>
      </c>
      <c r="P129" s="110">
        <f t="shared" si="5"/>
        <v>0</v>
      </c>
      <c r="Q129" s="110">
        <f t="shared" si="19"/>
        <v>0</v>
      </c>
      <c r="R129" s="110" t="e">
        <f>VLOOKUP(VLOOKUP(9,$A$8:$B$18,2,FALSE),'2nd Innings'!$D$26:$N$36,2,FALSE)</f>
        <v>#N/A</v>
      </c>
      <c r="S129" s="110" t="e">
        <f>VLOOKUP(VLOOKUP(9,$A$8:$B$18,2,FALSE),'2nd Innings'!$D$26:$N$36,3,FALSE)</f>
        <v>#N/A</v>
      </c>
      <c r="T129" s="110" t="e">
        <f>VLOOKUP(VLOOKUP(9,$A$8:$B$18,2,FALSE),'2nd Innings'!$D$26:$N$36,4,FALSE)</f>
        <v>#N/A</v>
      </c>
      <c r="U129" s="110" t="e">
        <f>VLOOKUP(VLOOKUP(9,$A$8:$B$18,2,FALSE),'2nd Innings'!$D$26:$N$36,5,FALSE)</f>
        <v>#N/A</v>
      </c>
      <c r="V129" s="110" t="e">
        <f>VLOOKUP(VLOOKUP(9,$A$8:$B$18,2,FALSE),'2nd Innings'!$D$26:$N$36,6,FALSE)</f>
        <v>#N/A</v>
      </c>
      <c r="W129" s="110" t="e">
        <f>VLOOKUP(VLOOKUP(9,$A$8:$B$18,2,FALSE),'2nd Innings'!$D$26:$N$36,7,FALSE)</f>
        <v>#N/A</v>
      </c>
      <c r="X129" s="110" t="e">
        <f>VLOOKUP(VLOOKUP(9,$A$8:$B$18,2,FALSE),'2nd Innings'!$D$26:$N$36,10,FALSE)</f>
        <v>#N/A</v>
      </c>
      <c r="Y129" s="110" t="e">
        <f>VLOOKUP(VLOOKUP(9,$A$8:$B$18,2,FALSE),'2nd Innings'!$D$26:$N$36,11,FALSE)</f>
        <v>#N/A</v>
      </c>
      <c r="Z129" s="110">
        <f t="shared" si="6"/>
        <v>0</v>
      </c>
      <c r="AA129" s="110">
        <f t="shared" si="20"/>
        <v>0</v>
      </c>
      <c r="AB129" s="110">
        <f t="shared" si="21"/>
        <v>0</v>
      </c>
      <c r="AC129" s="110">
        <f t="shared" si="22"/>
        <v>0</v>
      </c>
      <c r="AD129" s="111" t="e">
        <f t="shared" si="7"/>
        <v>#DIV/0!</v>
      </c>
      <c r="AE129" s="111" t="e">
        <f t="shared" si="23"/>
        <v>#DIV/0!</v>
      </c>
      <c r="AF129" s="112" t="e">
        <f t="shared" si="24"/>
        <v>#DIV/0!</v>
      </c>
      <c r="AG129" s="113" t="e">
        <f t="shared" si="8"/>
        <v>#N/A</v>
      </c>
      <c r="AH129" s="114">
        <f t="shared" si="9"/>
        <v>0</v>
      </c>
      <c r="AI129" s="115" t="e">
        <f t="shared" si="25"/>
        <v>#DIV/0!</v>
      </c>
      <c r="AJ129" s="111" t="e">
        <f t="shared" si="42"/>
        <v>#DIV/0!</v>
      </c>
      <c r="AK129" s="111" t="e">
        <f t="shared" si="43"/>
        <v>#DIV/0!</v>
      </c>
      <c r="AL129" s="116" t="e">
        <f t="shared" si="10"/>
        <v>#N/A</v>
      </c>
      <c r="AM129" s="116" t="e">
        <f t="shared" si="32"/>
        <v>#N/A</v>
      </c>
      <c r="AN129" s="117" t="e">
        <f t="shared" si="33"/>
        <v>#N/A</v>
      </c>
      <c r="AO129" s="117" t="e">
        <f>(1-NORMDIST(AN129,$P$32,($P$32/4),TRUE))*(R129/($E$37+'2nd Innings'!$E$37))</f>
        <v>#N/A</v>
      </c>
      <c r="AP129" s="116" t="e">
        <f>(AO129/AO$143)*(200-(8*($H$37+'2nd Innings'!$H$37)))</f>
        <v>#N/A</v>
      </c>
      <c r="AQ129" s="111" t="e">
        <f t="shared" si="11"/>
        <v>#N/A</v>
      </c>
      <c r="AR129" s="110">
        <f t="shared" si="28"/>
        <v>0</v>
      </c>
      <c r="AS129" s="118">
        <f>IF(A129='2nd Innings'!$C$34,1,0)</f>
        <v>1</v>
      </c>
      <c r="AT129" s="166">
        <f t="shared" si="29"/>
        <v>0</v>
      </c>
      <c r="AU129" s="110">
        <f>COUNTIFS('2nd Innings'!$C$8:$C$18,"caught WK",'2nd Innings'!$D$8:$D$18,VLOOKUP(9,$A$8:$B$18,2,FALSE))+N129</f>
        <v>0</v>
      </c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</row>
    <row r="130" spans="1:72" x14ac:dyDescent="0.25">
      <c r="A130" s="140">
        <f t="shared" si="12"/>
        <v>0</v>
      </c>
      <c r="B130" s="116">
        <f t="shared" si="13"/>
        <v>10</v>
      </c>
      <c r="C130" s="116">
        <v>1</v>
      </c>
      <c r="D130" s="116">
        <f t="shared" si="14"/>
        <v>0</v>
      </c>
      <c r="E130" s="116">
        <f t="shared" si="15"/>
        <v>0</v>
      </c>
      <c r="F130" s="116">
        <f t="shared" ref="F130:G130" si="48">F17</f>
        <v>0</v>
      </c>
      <c r="G130" s="116">
        <f t="shared" si="48"/>
        <v>0</v>
      </c>
      <c r="H130" s="141">
        <f t="shared" ref="H130:J130" si="49">I17</f>
        <v>0</v>
      </c>
      <c r="I130" s="116">
        <f t="shared" si="49"/>
        <v>0</v>
      </c>
      <c r="J130" s="116">
        <f t="shared" si="49"/>
        <v>0</v>
      </c>
      <c r="K130" s="110">
        <f>SUMIF(O$8:O$18,VLOOKUP(10,A$8:B$18,2,FALSE),Q$8:Q$18)+SUMIF(P$8:P$18,VLOOKUP(10,A$8:B$18,2,FALSE),Q$8:Q$18)</f>
        <v>0</v>
      </c>
      <c r="L130" s="110">
        <f>COUNTIFS('2nd Innings'!$C$8:$C$18,"caught",'2nd Innings'!$D$8:$D$18,VLOOKUP(10,$A$8:$B$18,2,FALSE))+COUNTIFS('2nd Innings'!$C$8:$C$18,"caught WK",'2nd Innings'!$D$8:$D$18,VLOOKUP(10,$A$8:$B$18,2,FALSE))</f>
        <v>0</v>
      </c>
      <c r="M130" s="110">
        <f>COUNTIFS('2nd Innings'!$C$8:$C$18,"Run Out",'2nd Innings'!$D$8:$D$18,VLOOKUP(10,$A$8:$B$18,2,FALSE))</f>
        <v>0</v>
      </c>
      <c r="N130" s="110">
        <f>COUNTIFS('2nd Innings'!$C$8:$C$18,"Stumped",'2nd Innings'!$D$8:$D$18,VLOOKUP(10,$A$8:$B$18,2,FALSE))</f>
        <v>0</v>
      </c>
      <c r="O130" s="110">
        <f t="shared" si="18"/>
        <v>0</v>
      </c>
      <c r="P130" s="110">
        <f t="shared" si="5"/>
        <v>0</v>
      </c>
      <c r="Q130" s="110">
        <f t="shared" si="19"/>
        <v>0</v>
      </c>
      <c r="R130" s="110" t="e">
        <f>VLOOKUP(VLOOKUP(10,$A$8:$B$18,2,FALSE),'2nd Innings'!$D$26:$N$36,2,FALSE)</f>
        <v>#N/A</v>
      </c>
      <c r="S130" s="110" t="e">
        <f>VLOOKUP(VLOOKUP(10,$A$8:$B$18,2,FALSE),'2nd Innings'!$D$26:$N$36,3,FALSE)</f>
        <v>#N/A</v>
      </c>
      <c r="T130" s="110" t="e">
        <f>VLOOKUP(VLOOKUP(10,$A$8:$B$18,2,FALSE),'2nd Innings'!$D$26:$N$36,4,FALSE)</f>
        <v>#N/A</v>
      </c>
      <c r="U130" s="110" t="e">
        <f>VLOOKUP(VLOOKUP(10,$A$8:$B$18,2,FALSE),'2nd Innings'!$D$26:$N$36,5,FALSE)</f>
        <v>#N/A</v>
      </c>
      <c r="V130" s="110" t="e">
        <f>VLOOKUP(VLOOKUP(10,$A$8:$B$18,2,FALSE),'2nd Innings'!$D$26:$N$36,6,FALSE)</f>
        <v>#N/A</v>
      </c>
      <c r="W130" s="110" t="e">
        <f>VLOOKUP(VLOOKUP(10,$A$8:$B$18,2,FALSE),'2nd Innings'!$D$26:$N$36,7,FALSE)</f>
        <v>#N/A</v>
      </c>
      <c r="X130" s="110" t="e">
        <f>VLOOKUP(VLOOKUP(10,$A$8:$B$18,2,FALSE),'2nd Innings'!$D$26:$N$36,10,FALSE)</f>
        <v>#N/A</v>
      </c>
      <c r="Y130" s="110" t="e">
        <f>VLOOKUP(VLOOKUP(10,$A$8:$B$18,2,FALSE),'2nd Innings'!$D$26:$N$36,11,FALSE)</f>
        <v>#N/A</v>
      </c>
      <c r="Z130" s="110">
        <f t="shared" si="6"/>
        <v>0</v>
      </c>
      <c r="AA130" s="110">
        <f t="shared" si="20"/>
        <v>0</v>
      </c>
      <c r="AB130" s="110">
        <f t="shared" si="21"/>
        <v>0</v>
      </c>
      <c r="AC130" s="110">
        <f t="shared" si="22"/>
        <v>0</v>
      </c>
      <c r="AD130" s="111" t="e">
        <f t="shared" si="7"/>
        <v>#DIV/0!</v>
      </c>
      <c r="AE130" s="111" t="e">
        <f t="shared" si="23"/>
        <v>#DIV/0!</v>
      </c>
      <c r="AF130" s="112" t="e">
        <f t="shared" si="24"/>
        <v>#DIV/0!</v>
      </c>
      <c r="AG130" s="113" t="e">
        <f t="shared" si="8"/>
        <v>#N/A</v>
      </c>
      <c r="AH130" s="114">
        <f t="shared" si="9"/>
        <v>0</v>
      </c>
      <c r="AI130" s="115" t="e">
        <f t="shared" si="25"/>
        <v>#DIV/0!</v>
      </c>
      <c r="AJ130" s="111" t="e">
        <f t="shared" si="42"/>
        <v>#DIV/0!</v>
      </c>
      <c r="AK130" s="111" t="e">
        <f t="shared" si="43"/>
        <v>#DIV/0!</v>
      </c>
      <c r="AL130" s="116" t="e">
        <f t="shared" si="10"/>
        <v>#N/A</v>
      </c>
      <c r="AM130" s="116" t="e">
        <f t="shared" si="32"/>
        <v>#N/A</v>
      </c>
      <c r="AN130" s="117" t="e">
        <f t="shared" si="33"/>
        <v>#N/A</v>
      </c>
      <c r="AO130" s="117" t="e">
        <f>(1-NORMDIST(AN130,$P$32,($P$32/4),TRUE))*(R130/($E$37+'2nd Innings'!$E$37))</f>
        <v>#N/A</v>
      </c>
      <c r="AP130" s="116" t="e">
        <f>(AO130/AO$143)*(200-(8*($H$37+'2nd Innings'!$H$37)))</f>
        <v>#N/A</v>
      </c>
      <c r="AQ130" s="111" t="e">
        <f t="shared" si="11"/>
        <v>#N/A</v>
      </c>
      <c r="AR130" s="110">
        <f t="shared" si="28"/>
        <v>0</v>
      </c>
      <c r="AS130" s="118">
        <f>IF(A130='2nd Innings'!$C$34,1,0)</f>
        <v>1</v>
      </c>
      <c r="AT130" s="166">
        <f t="shared" si="29"/>
        <v>0</v>
      </c>
      <c r="AU130" s="110">
        <f>COUNTIFS('2nd Innings'!$C$8:$C$18,"caught WK",'2nd Innings'!$D$8:$D$18,VLOOKUP(10,$A$8:$B$18,2,FALSE))+N130</f>
        <v>0</v>
      </c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</row>
    <row r="131" spans="1:72" x14ac:dyDescent="0.25">
      <c r="A131" s="140">
        <f t="shared" si="12"/>
        <v>0</v>
      </c>
      <c r="B131" s="116">
        <f t="shared" si="13"/>
        <v>11</v>
      </c>
      <c r="C131" s="116">
        <v>1</v>
      </c>
      <c r="D131" s="116">
        <f t="shared" si="14"/>
        <v>0</v>
      </c>
      <c r="E131" s="116">
        <f t="shared" si="15"/>
        <v>0</v>
      </c>
      <c r="F131" s="116">
        <f t="shared" ref="F131:G131" si="50">F18</f>
        <v>0</v>
      </c>
      <c r="G131" s="116">
        <f t="shared" si="50"/>
        <v>0</v>
      </c>
      <c r="H131" s="141">
        <f t="shared" ref="H131:J131" si="51">I18</f>
        <v>0</v>
      </c>
      <c r="I131" s="116">
        <f t="shared" si="51"/>
        <v>0</v>
      </c>
      <c r="J131" s="116">
        <f t="shared" si="51"/>
        <v>0</v>
      </c>
      <c r="K131" s="110">
        <f>SUMIF(O$8:O$18,VLOOKUP(11,A$8:B$18,2,FALSE),Q$8:Q$18)+SUMIF(P$8:P$18,VLOOKUP(11,A$8:B$18,2,FALSE),Q$8:Q$18)</f>
        <v>0</v>
      </c>
      <c r="L131" s="110">
        <f>COUNTIFS('2nd Innings'!$C$8:$C$18,"caught",'2nd Innings'!$D$8:$D$18,VLOOKUP(11,$A$8:$B$18,2,FALSE))+COUNTIFS('2nd Innings'!$C$8:$C$18,"caught WK",'2nd Innings'!$D$8:$D$18,VLOOKUP(11,$A$8:$B$18,2,FALSE))</f>
        <v>0</v>
      </c>
      <c r="M131" s="110">
        <f>COUNTIFS('2nd Innings'!$C$8:$C$18,"Run Out",'2nd Innings'!$D$8:$D$18,VLOOKUP(11,$A$8:$B$18,2,FALSE))</f>
        <v>0</v>
      </c>
      <c r="N131" s="110">
        <f>COUNTIFS('2nd Innings'!$C$8:$C$18,"Stumped",'2nd Innings'!$D$8:$D$18,VLOOKUP(11,$A$8:$B$18,2,FALSE))</f>
        <v>0</v>
      </c>
      <c r="O131" s="110">
        <f t="shared" si="18"/>
        <v>0</v>
      </c>
      <c r="P131" s="110">
        <f t="shared" si="5"/>
        <v>0</v>
      </c>
      <c r="Q131" s="110">
        <f t="shared" si="19"/>
        <v>0</v>
      </c>
      <c r="R131" s="110" t="e">
        <f>VLOOKUP(VLOOKUP(11,$A$8:$B$18,2,FALSE),'2nd Innings'!$D$26:$N$36,2,FALSE)</f>
        <v>#N/A</v>
      </c>
      <c r="S131" s="110" t="e">
        <f>VLOOKUP(VLOOKUP(11,$A$8:$B$18,2,FALSE),'2nd Innings'!$D$26:$N$36,3,FALSE)</f>
        <v>#N/A</v>
      </c>
      <c r="T131" s="110" t="e">
        <f>VLOOKUP(VLOOKUP(11,$A$8:$B$18,2,FALSE),'2nd Innings'!$D$26:$N$36,4,FALSE)</f>
        <v>#N/A</v>
      </c>
      <c r="U131" s="110" t="e">
        <f>VLOOKUP(VLOOKUP(11,$A$8:$B$18,2,FALSE),'2nd Innings'!$D$26:$N$36,5,FALSE)</f>
        <v>#N/A</v>
      </c>
      <c r="V131" s="110" t="e">
        <f>VLOOKUP(VLOOKUP(11,$A$8:$B$18,2,FALSE),'2nd Innings'!$D$26:$N$36,6,FALSE)</f>
        <v>#N/A</v>
      </c>
      <c r="W131" s="110" t="e">
        <f>VLOOKUP(VLOOKUP(11,$A$8:$B$18,2,FALSE),'2nd Innings'!$D$26:$N$36,7,FALSE)</f>
        <v>#N/A</v>
      </c>
      <c r="X131" s="110" t="e">
        <f>VLOOKUP(VLOOKUP(11,$A$8:$B$18,2,FALSE),'2nd Innings'!$D$26:$N$36,10,FALSE)</f>
        <v>#N/A</v>
      </c>
      <c r="Y131" s="110" t="e">
        <f>VLOOKUP(VLOOKUP(11,$A$8:$B$18,2,FALSE),'2nd Innings'!$D$26:$N$36,11,FALSE)</f>
        <v>#N/A</v>
      </c>
      <c r="Z131" s="110">
        <f t="shared" si="6"/>
        <v>0</v>
      </c>
      <c r="AA131" s="110">
        <f t="shared" si="20"/>
        <v>0</v>
      </c>
      <c r="AB131" s="110">
        <f t="shared" si="21"/>
        <v>0</v>
      </c>
      <c r="AC131" s="110">
        <f t="shared" si="22"/>
        <v>0</v>
      </c>
      <c r="AD131" s="111" t="e">
        <f t="shared" si="7"/>
        <v>#DIV/0!</v>
      </c>
      <c r="AE131" s="111" t="e">
        <f t="shared" si="23"/>
        <v>#DIV/0!</v>
      </c>
      <c r="AF131" s="112" t="e">
        <f t="shared" si="24"/>
        <v>#DIV/0!</v>
      </c>
      <c r="AG131" s="113" t="e">
        <f t="shared" si="8"/>
        <v>#N/A</v>
      </c>
      <c r="AH131" s="114">
        <f t="shared" si="9"/>
        <v>0</v>
      </c>
      <c r="AI131" s="115" t="e">
        <f t="shared" si="25"/>
        <v>#DIV/0!</v>
      </c>
      <c r="AJ131" s="111" t="e">
        <f t="shared" si="42"/>
        <v>#DIV/0!</v>
      </c>
      <c r="AK131" s="111" t="e">
        <f t="shared" si="43"/>
        <v>#DIV/0!</v>
      </c>
      <c r="AL131" s="116" t="e">
        <f t="shared" si="10"/>
        <v>#N/A</v>
      </c>
      <c r="AM131" s="116" t="e">
        <f t="shared" si="32"/>
        <v>#N/A</v>
      </c>
      <c r="AN131" s="117" t="e">
        <f t="shared" si="33"/>
        <v>#N/A</v>
      </c>
      <c r="AO131" s="117" t="e">
        <f>(1-NORMDIST(AN131,$P$32,($P$32/4),TRUE))*(R131/($E$37+'2nd Innings'!$E$37))</f>
        <v>#N/A</v>
      </c>
      <c r="AP131" s="116" t="e">
        <f>(AO131/AO$143)*(200-(8*($H$37+'2nd Innings'!$H$37)))</f>
        <v>#N/A</v>
      </c>
      <c r="AQ131" s="111" t="e">
        <f t="shared" si="11"/>
        <v>#N/A</v>
      </c>
      <c r="AR131" s="110">
        <f t="shared" si="28"/>
        <v>0</v>
      </c>
      <c r="AS131" s="118">
        <f>IF(A131='2nd Innings'!$C$34,1,0)</f>
        <v>1</v>
      </c>
      <c r="AT131" s="166">
        <f t="shared" si="29"/>
        <v>0</v>
      </c>
      <c r="AU131" s="110">
        <f>COUNTIFS('2nd Innings'!$C$8:$C$18,"caught WK",'2nd Innings'!$D$8:$D$18,VLOOKUP(11,$A$8:$B$18,2,FALSE))+N131</f>
        <v>0</v>
      </c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</row>
    <row r="132" spans="1:72" x14ac:dyDescent="0.25">
      <c r="A132" s="140">
        <f>'2nd Innings'!B8</f>
        <v>0</v>
      </c>
      <c r="B132" s="116">
        <f>'2nd Innings'!A8</f>
        <v>1</v>
      </c>
      <c r="C132" s="116">
        <v>1</v>
      </c>
      <c r="D132" s="116">
        <f>1-COUNTBLANK('2nd Innings'!C8)</f>
        <v>0</v>
      </c>
      <c r="E132" s="116">
        <f>COUNTIF('2nd Innings'!C8,"not out")</f>
        <v>0</v>
      </c>
      <c r="F132" s="116">
        <f>'2nd Innings'!F8</f>
        <v>0</v>
      </c>
      <c r="G132" s="116">
        <f>'2nd Innings'!G8</f>
        <v>0</v>
      </c>
      <c r="H132" s="141">
        <f>'2nd Innings'!I8</f>
        <v>0</v>
      </c>
      <c r="I132" s="116">
        <f>'2nd Innings'!J8</f>
        <v>0</v>
      </c>
      <c r="J132" s="116">
        <f>'2nd Innings'!K8</f>
        <v>0</v>
      </c>
      <c r="K132" s="110">
        <f>SUMIF('2nd Innings'!O8:O18,VLOOKUP(1,'2nd Innings'!A$8:B$18,2,FALSE),'2nd Innings'!Q$8:Q$18)+SUMIF('2nd Innings'!P$8:P$18,VLOOKUP(1,'2nd Innings'!A$8:B$18,2,FALSE),'2nd Innings'!Q$8:Q$18)</f>
        <v>0</v>
      </c>
      <c r="L132" s="110">
        <f>COUNTIFS($C$8:$C$18,"caught",$D$8:$D$18,VLOOKUP(1,'2nd Innings'!$A$8:$B$18,2,FALSE))+COUNTIFS($C$8:$C$18,"caught WK",$D$8:$D$18,VLOOKUP(1,'2nd Innings'!$A$8:$B$18,2,FALSE))</f>
        <v>0</v>
      </c>
      <c r="M132" s="110">
        <f>COUNTIFS($C$8:$C$18,"Run Out",$D$8:$D$18,VLOOKUP(1,'2nd Innings'!$A$8:$B$18,2,FALSE))</f>
        <v>0</v>
      </c>
      <c r="N132" s="110">
        <f>COUNTIFS($C$8:$C$18,"Stumped",$D$8:$D$18,VLOOKUP(1,'2nd Innings'!$A$8:$B$18,2,FALSE))</f>
        <v>0</v>
      </c>
      <c r="O132" s="110">
        <f t="shared" si="18"/>
        <v>0</v>
      </c>
      <c r="P132" s="110">
        <f t="shared" si="5"/>
        <v>0</v>
      </c>
      <c r="Q132" s="110">
        <f t="shared" si="19"/>
        <v>0</v>
      </c>
      <c r="R132" s="110" t="e">
        <f>VLOOKUP(VLOOKUP(1,'2nd Innings'!$A$8:$B$18,2,FALSE),$D$26:$N$36,2,FALSE)</f>
        <v>#N/A</v>
      </c>
      <c r="S132" s="110" t="e">
        <f>VLOOKUP(VLOOKUP(1,'2nd Innings'!$A$8:$B$18,2,FALSE),$D$26:$N$36,3,FALSE)</f>
        <v>#N/A</v>
      </c>
      <c r="T132" s="110" t="e">
        <f>VLOOKUP(VLOOKUP(1,'2nd Innings'!$A$8:$B$18,2,FALSE),$D$26:$N$36,4,FALSE)</f>
        <v>#N/A</v>
      </c>
      <c r="U132" s="110" t="e">
        <f>VLOOKUP(VLOOKUP(1,'2nd Innings'!$A$8:$B$18,2,FALSE),$D$26:$N$36,5,FALSE)</f>
        <v>#N/A</v>
      </c>
      <c r="V132" s="110" t="e">
        <f>VLOOKUP(VLOOKUP(1,'2nd Innings'!$A$8:$B$18,2,FALSE),$D$26:$N$36,6,FALSE)</f>
        <v>#N/A</v>
      </c>
      <c r="W132" s="110" t="e">
        <f>VLOOKUP(VLOOKUP(1,'2nd Innings'!$A$8:$B$18,2,FALSE),$D$26:$N$36,7,FALSE)</f>
        <v>#N/A</v>
      </c>
      <c r="X132" s="110" t="e">
        <f>VLOOKUP(VLOOKUP(1,'2nd Innings'!$A$8:$B$18,2,FALSE),$D$26:$N$36,10,FALSE)</f>
        <v>#N/A</v>
      </c>
      <c r="Y132" s="110" t="e">
        <f>VLOOKUP(VLOOKUP(1,'2nd Innings'!$A$8:$B$18,2,FALSE),$D$26:$N$36,11,FALSE)</f>
        <v>#N/A</v>
      </c>
      <c r="Z132" s="110">
        <f t="shared" si="6"/>
        <v>0</v>
      </c>
      <c r="AA132" s="110">
        <f t="shared" si="20"/>
        <v>0</v>
      </c>
      <c r="AB132" s="110">
        <f t="shared" si="21"/>
        <v>0</v>
      </c>
      <c r="AC132" s="110">
        <f t="shared" si="22"/>
        <v>0</v>
      </c>
      <c r="AD132" s="111" t="e">
        <f t="shared" si="7"/>
        <v>#DIV/0!</v>
      </c>
      <c r="AE132" s="111" t="e">
        <f t="shared" si="23"/>
        <v>#DIV/0!</v>
      </c>
      <c r="AF132" s="112" t="e">
        <f t="shared" si="24"/>
        <v>#DIV/0!</v>
      </c>
      <c r="AG132" s="113" t="e">
        <f t="shared" si="8"/>
        <v>#N/A</v>
      </c>
      <c r="AH132" s="114">
        <f t="shared" si="9"/>
        <v>0</v>
      </c>
      <c r="AI132" s="115" t="e">
        <f t="shared" si="25"/>
        <v>#DIV/0!</v>
      </c>
      <c r="AJ132" s="111" t="e">
        <f t="shared" si="26"/>
        <v>#DIV/0!</v>
      </c>
      <c r="AK132" s="111" t="e">
        <f t="shared" si="27"/>
        <v>#DIV/0!</v>
      </c>
      <c r="AL132" s="116" t="e">
        <f t="shared" si="10"/>
        <v>#N/A</v>
      </c>
      <c r="AM132" s="116" t="e">
        <f t="shared" si="32"/>
        <v>#N/A</v>
      </c>
      <c r="AN132" s="117" t="e">
        <f t="shared" si="33"/>
        <v>#N/A</v>
      </c>
      <c r="AO132" s="117" t="e">
        <f>(1-NORMDIST(AN132,$P$32,($P$32/4),TRUE))*(R132/($E$37+'2nd Innings'!$E$37))</f>
        <v>#N/A</v>
      </c>
      <c r="AP132" s="116" t="e">
        <f>(AO132/AO$143)*(200-(8*($H$37+'2nd Innings'!$H$37)))</f>
        <v>#N/A</v>
      </c>
      <c r="AQ132" s="111" t="e">
        <f t="shared" si="11"/>
        <v>#N/A</v>
      </c>
      <c r="AR132" s="110">
        <f>'2nd Innings'!$F$22</f>
        <v>0</v>
      </c>
      <c r="AS132" s="118">
        <f t="shared" ref="AS132:AS140" si="52">IF(A132=$C$34,1,0)</f>
        <v>1</v>
      </c>
      <c r="AT132" s="166">
        <f>B$4</f>
        <v>0</v>
      </c>
      <c r="AU132" s="110">
        <f>COUNTIFS($C$8:$C$18,"caught WK",$D$8:$D$18,VLOOKUP(1,'2nd Innings'!$A$8:$B$18,2,FALSE))+N132</f>
        <v>0</v>
      </c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</row>
    <row r="133" spans="1:72" x14ac:dyDescent="0.25">
      <c r="A133" s="140">
        <f>'2nd Innings'!B9</f>
        <v>0</v>
      </c>
      <c r="B133" s="116">
        <f>'2nd Innings'!A9</f>
        <v>2</v>
      </c>
      <c r="C133" s="116">
        <v>1</v>
      </c>
      <c r="D133" s="116">
        <f>1-COUNTBLANK('2nd Innings'!C9)</f>
        <v>0</v>
      </c>
      <c r="E133" s="116">
        <f>COUNTIF('2nd Innings'!C9,"not out")</f>
        <v>0</v>
      </c>
      <c r="F133" s="116">
        <f>'2nd Innings'!F9</f>
        <v>0</v>
      </c>
      <c r="G133" s="116">
        <f>'2nd Innings'!G9</f>
        <v>0</v>
      </c>
      <c r="H133" s="141">
        <f>'2nd Innings'!I9</f>
        <v>0</v>
      </c>
      <c r="I133" s="116">
        <f>'2nd Innings'!J9</f>
        <v>0</v>
      </c>
      <c r="J133" s="116">
        <f>'2nd Innings'!K9</f>
        <v>0</v>
      </c>
      <c r="K133" s="110">
        <f>SUMIF('2nd Innings'!O8:O18,VLOOKUP(2,'2nd Innings'!A$8:B$18,2,FALSE),'2nd Innings'!Q$8:Q$18)+SUMIF('2nd Innings'!P$8:P$18,VLOOKUP(2,'2nd Innings'!A$8:B$18,2,FALSE),'2nd Innings'!Q$8:Q$18)</f>
        <v>0</v>
      </c>
      <c r="L133" s="110">
        <f>COUNTIFS($C$8:$C$18,"caught",$D$8:$D$18,VLOOKUP(2,'2nd Innings'!$A$8:$B$18,2,FALSE))+COUNTIFS($C$8:$C$18,"caught WK",$D$8:$D$18,VLOOKUP(2,'2nd Innings'!$A$8:$B$18,2,FALSE))</f>
        <v>0</v>
      </c>
      <c r="M133" s="110">
        <f>COUNTIFS($C$8:$C$18,"Run Out",$D$8:$D$18,VLOOKUP(2,'2nd Innings'!$A$8:$B$18,2,FALSE))</f>
        <v>0</v>
      </c>
      <c r="N133" s="110">
        <f>COUNTIFS($C$8:$C$18,"Stumped",$D$8:$D$18,VLOOKUP(2,'2nd Innings'!$A$8:$B$18,2,FALSE))</f>
        <v>0</v>
      </c>
      <c r="O133" s="110">
        <f t="shared" si="18"/>
        <v>0</v>
      </c>
      <c r="P133" s="110">
        <f t="shared" si="5"/>
        <v>0</v>
      </c>
      <c r="Q133" s="110">
        <f t="shared" si="19"/>
        <v>0</v>
      </c>
      <c r="R133" s="110" t="e">
        <f>VLOOKUP(VLOOKUP(2,'2nd Innings'!$A$8:$B$18,2,FALSE),$D$26:$N$36,2,FALSE)</f>
        <v>#N/A</v>
      </c>
      <c r="S133" s="110" t="e">
        <f>VLOOKUP(VLOOKUP(2,'2nd Innings'!$A$8:$B$18,2,FALSE),$D$26:$N$36,3,FALSE)</f>
        <v>#N/A</v>
      </c>
      <c r="T133" s="110" t="e">
        <f>VLOOKUP(VLOOKUP(2,'2nd Innings'!$A$8:$B$18,2,FALSE),$D$26:$N$36,4,FALSE)</f>
        <v>#N/A</v>
      </c>
      <c r="U133" s="110" t="e">
        <f>VLOOKUP(VLOOKUP(2,'2nd Innings'!$A$8:$B$18,2,FALSE),$D$26:$N$36,5,FALSE)</f>
        <v>#N/A</v>
      </c>
      <c r="V133" s="110" t="e">
        <f>VLOOKUP(VLOOKUP(2,'2nd Innings'!$A$8:$B$18,2,FALSE),$D$26:$N$36,6,FALSE)</f>
        <v>#N/A</v>
      </c>
      <c r="W133" s="110" t="e">
        <f>VLOOKUP(VLOOKUP(2,'2nd Innings'!$A$8:$B$18,2,FALSE),$D$26:$N$36,7,FALSE)</f>
        <v>#N/A</v>
      </c>
      <c r="X133" s="110" t="e">
        <f>VLOOKUP(VLOOKUP(2,'2nd Innings'!$A$8:$B$18,2,FALSE),$D$26:$N$36,10,FALSE)</f>
        <v>#N/A</v>
      </c>
      <c r="Y133" s="110" t="e">
        <f>VLOOKUP(VLOOKUP(2,'2nd Innings'!$A$8:$B$18,2,FALSE),$D$26:$N$36,11,FALSE)</f>
        <v>#N/A</v>
      </c>
      <c r="Z133" s="110">
        <f t="shared" si="6"/>
        <v>0</v>
      </c>
      <c r="AA133" s="110">
        <f t="shared" si="20"/>
        <v>0</v>
      </c>
      <c r="AB133" s="110">
        <f t="shared" si="21"/>
        <v>0</v>
      </c>
      <c r="AC133" s="110">
        <f t="shared" si="22"/>
        <v>0</v>
      </c>
      <c r="AD133" s="111" t="e">
        <f t="shared" si="7"/>
        <v>#DIV/0!</v>
      </c>
      <c r="AE133" s="111" t="e">
        <f t="shared" si="23"/>
        <v>#DIV/0!</v>
      </c>
      <c r="AF133" s="112" t="e">
        <f t="shared" si="24"/>
        <v>#DIV/0!</v>
      </c>
      <c r="AG133" s="113" t="e">
        <f t="shared" si="8"/>
        <v>#N/A</v>
      </c>
      <c r="AH133" s="114">
        <f t="shared" si="9"/>
        <v>0</v>
      </c>
      <c r="AI133" s="115" t="e">
        <f t="shared" si="25"/>
        <v>#DIV/0!</v>
      </c>
      <c r="AJ133" s="111" t="e">
        <f t="shared" si="26"/>
        <v>#DIV/0!</v>
      </c>
      <c r="AK133" s="111" t="e">
        <f t="shared" si="27"/>
        <v>#DIV/0!</v>
      </c>
      <c r="AL133" s="116" t="e">
        <f t="shared" si="10"/>
        <v>#N/A</v>
      </c>
      <c r="AM133" s="116" t="e">
        <f t="shared" si="32"/>
        <v>#N/A</v>
      </c>
      <c r="AN133" s="117" t="e">
        <f t="shared" si="33"/>
        <v>#N/A</v>
      </c>
      <c r="AO133" s="117" t="e">
        <f>(1-NORMDIST(AN133,$P$32,($P$32/4),TRUE))*(R133/($E$37+'2nd Innings'!$E$37))</f>
        <v>#N/A</v>
      </c>
      <c r="AP133" s="116" t="e">
        <f>(AO133/AO$143)*(200-(8*($H$37+'2nd Innings'!$H$37)))</f>
        <v>#N/A</v>
      </c>
      <c r="AQ133" s="111" t="e">
        <f t="shared" si="11"/>
        <v>#N/A</v>
      </c>
      <c r="AR133" s="110">
        <f>'2nd Innings'!$F$22</f>
        <v>0</v>
      </c>
      <c r="AS133" s="118">
        <f t="shared" si="52"/>
        <v>1</v>
      </c>
      <c r="AT133" s="166">
        <f t="shared" ref="AT133:AT142" si="53">B$4</f>
        <v>0</v>
      </c>
      <c r="AU133" s="110">
        <f>COUNTIFS($C$8:$C$18,"caught WK",$D$8:$D$18,VLOOKUP(2,'2nd Innings'!$A$8:$B$18,2,FALSE))+N133</f>
        <v>0</v>
      </c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</row>
    <row r="134" spans="1:72" x14ac:dyDescent="0.25">
      <c r="A134" s="140">
        <f>'2nd Innings'!B10</f>
        <v>0</v>
      </c>
      <c r="B134" s="116">
        <f>'2nd Innings'!A10</f>
        <v>3</v>
      </c>
      <c r="C134" s="116">
        <v>1</v>
      </c>
      <c r="D134" s="116">
        <f>1-COUNTBLANK('2nd Innings'!C10)</f>
        <v>0</v>
      </c>
      <c r="E134" s="116">
        <f>COUNTIF('2nd Innings'!C10,"not out")</f>
        <v>0</v>
      </c>
      <c r="F134" s="116">
        <f>'2nd Innings'!F10</f>
        <v>0</v>
      </c>
      <c r="G134" s="116">
        <f>'2nd Innings'!G10</f>
        <v>0</v>
      </c>
      <c r="H134" s="141">
        <f>'2nd Innings'!I10</f>
        <v>0</v>
      </c>
      <c r="I134" s="116">
        <f>'2nd Innings'!J10</f>
        <v>0</v>
      </c>
      <c r="J134" s="116">
        <f>'2nd Innings'!K10</f>
        <v>0</v>
      </c>
      <c r="K134" s="110">
        <f>SUMIF('2nd Innings'!O8:O18,VLOOKUP(3,'2nd Innings'!A$8:B$18,2,FALSE),'2nd Innings'!Q$8:Q$18)+SUMIF('2nd Innings'!P$8:P$18,VLOOKUP(3,'2nd Innings'!A$8:B$18,2,FALSE),'2nd Innings'!Q$8:Q$18)</f>
        <v>0</v>
      </c>
      <c r="L134" s="110">
        <f>COUNTIFS($C$8:$C$18,"caught",$D$8:$D$18,VLOOKUP(3,'2nd Innings'!$A$8:$B$18,2,FALSE))+COUNTIFS($C$8:$C$18,"caught WK",$D$8:$D$18,VLOOKUP(3,'2nd Innings'!$A$8:$B$18,2,FALSE))</f>
        <v>0</v>
      </c>
      <c r="M134" s="110">
        <f>COUNTIFS($C$8:$C$18,"Run Out",$D$8:$D$18,VLOOKUP(3,'2nd Innings'!$A$8:$B$18,2,FALSE))</f>
        <v>0</v>
      </c>
      <c r="N134" s="110">
        <f>COUNTIFS($C$8:$C$18,"Stumped",$D$8:$D$18,VLOOKUP(3,'2nd Innings'!$A$8:$B$18,2,FALSE))</f>
        <v>0</v>
      </c>
      <c r="O134" s="110">
        <f t="shared" si="18"/>
        <v>0</v>
      </c>
      <c r="P134" s="110">
        <f t="shared" si="5"/>
        <v>0</v>
      </c>
      <c r="Q134" s="110">
        <f t="shared" si="19"/>
        <v>0</v>
      </c>
      <c r="R134" s="110" t="e">
        <f>VLOOKUP(VLOOKUP(3,'2nd Innings'!$A$8:$B$18,2,FALSE),$D$26:$N$36,2,FALSE)</f>
        <v>#N/A</v>
      </c>
      <c r="S134" s="110" t="e">
        <f>VLOOKUP(VLOOKUP(3,'2nd Innings'!$A$8:$B$18,2,FALSE),$D$26:$N$36,3,FALSE)</f>
        <v>#N/A</v>
      </c>
      <c r="T134" s="110" t="e">
        <f>VLOOKUP(VLOOKUP(3,'2nd Innings'!$A$8:$B$18,2,FALSE),$D$26:$N$36,4,FALSE)</f>
        <v>#N/A</v>
      </c>
      <c r="U134" s="110" t="e">
        <f>VLOOKUP(VLOOKUP(3,'2nd Innings'!$A$8:$B$18,2,FALSE),$D$26:$N$36,5,FALSE)</f>
        <v>#N/A</v>
      </c>
      <c r="V134" s="110" t="e">
        <f>VLOOKUP(VLOOKUP(3,'2nd Innings'!$A$8:$B$18,2,FALSE),$D$26:$N$36,6,FALSE)</f>
        <v>#N/A</v>
      </c>
      <c r="W134" s="110" t="e">
        <f>VLOOKUP(VLOOKUP(3,'2nd Innings'!$A$8:$B$18,2,FALSE),$D$26:$N$36,7,FALSE)</f>
        <v>#N/A</v>
      </c>
      <c r="X134" s="110" t="e">
        <f>VLOOKUP(VLOOKUP(3,'2nd Innings'!$A$8:$B$18,2,FALSE),$D$26:$N$36,10,FALSE)</f>
        <v>#N/A</v>
      </c>
      <c r="Y134" s="110" t="e">
        <f>VLOOKUP(VLOOKUP(3,'2nd Innings'!$A$8:$B$18,2,FALSE),$D$26:$N$36,11,FALSE)</f>
        <v>#N/A</v>
      </c>
      <c r="Z134" s="110">
        <f t="shared" si="6"/>
        <v>0</v>
      </c>
      <c r="AA134" s="110">
        <f t="shared" si="20"/>
        <v>0</v>
      </c>
      <c r="AB134" s="110">
        <f t="shared" si="21"/>
        <v>0</v>
      </c>
      <c r="AC134" s="110">
        <f t="shared" si="22"/>
        <v>0</v>
      </c>
      <c r="AD134" s="111" t="e">
        <f t="shared" si="7"/>
        <v>#DIV/0!</v>
      </c>
      <c r="AE134" s="111" t="e">
        <f t="shared" si="23"/>
        <v>#DIV/0!</v>
      </c>
      <c r="AF134" s="112" t="e">
        <f t="shared" si="24"/>
        <v>#DIV/0!</v>
      </c>
      <c r="AG134" s="113" t="e">
        <f t="shared" si="8"/>
        <v>#N/A</v>
      </c>
      <c r="AH134" s="114">
        <f t="shared" si="9"/>
        <v>0</v>
      </c>
      <c r="AI134" s="115" t="e">
        <f t="shared" si="25"/>
        <v>#DIV/0!</v>
      </c>
      <c r="AJ134" s="111" t="e">
        <f t="shared" si="26"/>
        <v>#DIV/0!</v>
      </c>
      <c r="AK134" s="111" t="e">
        <f t="shared" si="27"/>
        <v>#DIV/0!</v>
      </c>
      <c r="AL134" s="116" t="e">
        <f t="shared" si="10"/>
        <v>#N/A</v>
      </c>
      <c r="AM134" s="116" t="e">
        <f t="shared" si="32"/>
        <v>#N/A</v>
      </c>
      <c r="AN134" s="117" t="e">
        <f t="shared" si="33"/>
        <v>#N/A</v>
      </c>
      <c r="AO134" s="117" t="e">
        <f>(1-NORMDIST(AN134,$P$32,($P$32/4),TRUE))*(R134/($E$37+'2nd Innings'!$E$37))</f>
        <v>#N/A</v>
      </c>
      <c r="AP134" s="116" t="e">
        <f>(AO134/AO$143)*(200-(8*($H$37+'2nd Innings'!$H$37)))</f>
        <v>#N/A</v>
      </c>
      <c r="AQ134" s="111" t="e">
        <f t="shared" si="11"/>
        <v>#N/A</v>
      </c>
      <c r="AR134" s="110">
        <f>'2nd Innings'!$F$22</f>
        <v>0</v>
      </c>
      <c r="AS134" s="118">
        <f t="shared" si="52"/>
        <v>1</v>
      </c>
      <c r="AT134" s="166">
        <f t="shared" si="53"/>
        <v>0</v>
      </c>
      <c r="AU134" s="110">
        <f>COUNTIFS($C$8:$C$18,"caught WK",$D$8:$D$18,VLOOKUP(3,'2nd Innings'!$A$8:$B$18,2,FALSE))+N134</f>
        <v>0</v>
      </c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</row>
    <row r="135" spans="1:72" x14ac:dyDescent="0.25">
      <c r="A135" s="140">
        <f>'2nd Innings'!B11</f>
        <v>0</v>
      </c>
      <c r="B135" s="116">
        <f>'2nd Innings'!A11</f>
        <v>4</v>
      </c>
      <c r="C135" s="116">
        <v>1</v>
      </c>
      <c r="D135" s="116">
        <f>1-COUNTBLANK('2nd Innings'!C11)</f>
        <v>0</v>
      </c>
      <c r="E135" s="116">
        <f>COUNTIF('2nd Innings'!C11,"not out")</f>
        <v>0</v>
      </c>
      <c r="F135" s="116">
        <f>'2nd Innings'!F11</f>
        <v>0</v>
      </c>
      <c r="G135" s="116">
        <f>'2nd Innings'!G11</f>
        <v>0</v>
      </c>
      <c r="H135" s="141">
        <f>'2nd Innings'!I11</f>
        <v>0</v>
      </c>
      <c r="I135" s="116">
        <f>'2nd Innings'!J11</f>
        <v>0</v>
      </c>
      <c r="J135" s="116">
        <f>'2nd Innings'!K11</f>
        <v>0</v>
      </c>
      <c r="K135" s="110">
        <f>SUMIF('2nd Innings'!O8:O18,VLOOKUP(4,'2nd Innings'!A$8:B$18,2,FALSE),'2nd Innings'!Q$8:Q$18)+SUMIF('2nd Innings'!P$8:P$18,VLOOKUP(4,'2nd Innings'!A$8:B$18,2,FALSE),'2nd Innings'!Q$8:Q$18)</f>
        <v>0</v>
      </c>
      <c r="L135" s="110">
        <f>COUNTIFS($C$8:$C$18,"caught",$D$8:$D$18,VLOOKUP(4,'2nd Innings'!$A$8:$B$18,2,FALSE))+COUNTIFS($C$8:$C$18,"caught WK",$D$8:$D$18,VLOOKUP(4,'2nd Innings'!$A$8:$B$18,2,FALSE))</f>
        <v>0</v>
      </c>
      <c r="M135" s="110">
        <f>COUNTIFS($C$8:$C$18,"Run Out",$D$8:$D$18,VLOOKUP(4,'2nd Innings'!$A$8:$B$18,2,FALSE))</f>
        <v>0</v>
      </c>
      <c r="N135" s="110">
        <f>COUNTIFS($C$8:$C$18,"Stumped",$D$8:$D$18,VLOOKUP(4,'2nd Innings'!$A$8:$B$18,2,FALSE))</f>
        <v>0</v>
      </c>
      <c r="O135" s="110">
        <f t="shared" si="18"/>
        <v>0</v>
      </c>
      <c r="P135" s="110">
        <f t="shared" si="5"/>
        <v>0</v>
      </c>
      <c r="Q135" s="110">
        <f t="shared" si="19"/>
        <v>0</v>
      </c>
      <c r="R135" s="110" t="e">
        <f>VLOOKUP(VLOOKUP(4,'2nd Innings'!$A$8:$B$18,2,FALSE),$D$26:$N$36,2,FALSE)</f>
        <v>#N/A</v>
      </c>
      <c r="S135" s="110" t="e">
        <f>VLOOKUP(VLOOKUP(4,'2nd Innings'!$A$8:$B$18,2,FALSE),$D$26:$N$36,3,FALSE)</f>
        <v>#N/A</v>
      </c>
      <c r="T135" s="110" t="e">
        <f>VLOOKUP(VLOOKUP(4,'2nd Innings'!$A$8:$B$18,2,FALSE),$D$26:$N$36,4,FALSE)</f>
        <v>#N/A</v>
      </c>
      <c r="U135" s="110" t="e">
        <f>VLOOKUP(VLOOKUP(4,'2nd Innings'!$A$8:$B$18,2,FALSE),$D$26:$N$36,5,FALSE)</f>
        <v>#N/A</v>
      </c>
      <c r="V135" s="110" t="e">
        <f>VLOOKUP(VLOOKUP(4,'2nd Innings'!$A$8:$B$18,2,FALSE),$D$26:$N$36,6,FALSE)</f>
        <v>#N/A</v>
      </c>
      <c r="W135" s="110" t="e">
        <f>VLOOKUP(VLOOKUP(4,'2nd Innings'!$A$8:$B$18,2,FALSE),$D$26:$N$36,7,FALSE)</f>
        <v>#N/A</v>
      </c>
      <c r="X135" s="110" t="e">
        <f>VLOOKUP(VLOOKUP(4,'2nd Innings'!$A$8:$B$18,2,FALSE),$D$26:$N$36,10,FALSE)</f>
        <v>#N/A</v>
      </c>
      <c r="Y135" s="110" t="e">
        <f>VLOOKUP(VLOOKUP(4,'2nd Innings'!$A$8:$B$18,2,FALSE),$D$26:$N$36,11,FALSE)</f>
        <v>#N/A</v>
      </c>
      <c r="Z135" s="110">
        <f t="shared" si="6"/>
        <v>0</v>
      </c>
      <c r="AA135" s="110">
        <f t="shared" si="20"/>
        <v>0</v>
      </c>
      <c r="AB135" s="110">
        <f t="shared" si="21"/>
        <v>0</v>
      </c>
      <c r="AC135" s="110">
        <f t="shared" si="22"/>
        <v>0</v>
      </c>
      <c r="AD135" s="111" t="e">
        <f t="shared" si="7"/>
        <v>#DIV/0!</v>
      </c>
      <c r="AE135" s="111" t="e">
        <f t="shared" si="23"/>
        <v>#DIV/0!</v>
      </c>
      <c r="AF135" s="112" t="e">
        <f t="shared" si="24"/>
        <v>#DIV/0!</v>
      </c>
      <c r="AG135" s="113" t="e">
        <f t="shared" si="8"/>
        <v>#N/A</v>
      </c>
      <c r="AH135" s="114">
        <f t="shared" si="9"/>
        <v>0</v>
      </c>
      <c r="AI135" s="115" t="e">
        <f t="shared" si="25"/>
        <v>#DIV/0!</v>
      </c>
      <c r="AJ135" s="111" t="e">
        <f t="shared" si="26"/>
        <v>#DIV/0!</v>
      </c>
      <c r="AK135" s="111" t="e">
        <f t="shared" si="27"/>
        <v>#DIV/0!</v>
      </c>
      <c r="AL135" s="116" t="e">
        <f t="shared" si="10"/>
        <v>#N/A</v>
      </c>
      <c r="AM135" s="116" t="e">
        <f t="shared" si="32"/>
        <v>#N/A</v>
      </c>
      <c r="AN135" s="117" t="e">
        <f t="shared" si="33"/>
        <v>#N/A</v>
      </c>
      <c r="AO135" s="117" t="e">
        <f>(1-NORMDIST(AN135,$P$32,($P$32/4),TRUE))*(R135/($E$37+'2nd Innings'!$E$37))</f>
        <v>#N/A</v>
      </c>
      <c r="AP135" s="116" t="e">
        <f>(AO135/AO$143)*(200-(8*($H$37+'2nd Innings'!$H$37)))</f>
        <v>#N/A</v>
      </c>
      <c r="AQ135" s="111" t="e">
        <f t="shared" si="11"/>
        <v>#N/A</v>
      </c>
      <c r="AR135" s="110">
        <f>'2nd Innings'!$F$22</f>
        <v>0</v>
      </c>
      <c r="AS135" s="118">
        <f t="shared" si="52"/>
        <v>1</v>
      </c>
      <c r="AT135" s="166">
        <f t="shared" si="53"/>
        <v>0</v>
      </c>
      <c r="AU135" s="110">
        <f>COUNTIFS($C$8:$C$18,"caught WK",$D$8:$D$18,VLOOKUP(4,'2nd Innings'!$A$8:$B$18,2,FALSE))+N135</f>
        <v>0</v>
      </c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</row>
    <row r="136" spans="1:72" x14ac:dyDescent="0.25">
      <c r="A136" s="140">
        <f>'2nd Innings'!B12</f>
        <v>0</v>
      </c>
      <c r="B136" s="116">
        <f>'2nd Innings'!A12</f>
        <v>5</v>
      </c>
      <c r="C136" s="116">
        <v>1</v>
      </c>
      <c r="D136" s="116">
        <f>1-COUNTBLANK('2nd Innings'!C12)</f>
        <v>0</v>
      </c>
      <c r="E136" s="116">
        <f>COUNTIF('2nd Innings'!C12,"not out")</f>
        <v>0</v>
      </c>
      <c r="F136" s="116">
        <f>'2nd Innings'!F12</f>
        <v>0</v>
      </c>
      <c r="G136" s="116">
        <f>'2nd Innings'!G12</f>
        <v>0</v>
      </c>
      <c r="H136" s="141">
        <f>'2nd Innings'!I12</f>
        <v>0</v>
      </c>
      <c r="I136" s="116">
        <f>'2nd Innings'!J12</f>
        <v>0</v>
      </c>
      <c r="J136" s="116">
        <f>'2nd Innings'!K12</f>
        <v>0</v>
      </c>
      <c r="K136" s="110">
        <f>SUMIF('2nd Innings'!O8:O18,VLOOKUP(5,'2nd Innings'!A$8:B$18,2,FALSE),'2nd Innings'!Q$8:Q$18)+SUMIF('2nd Innings'!P$8:P$18,VLOOKUP(5,'2nd Innings'!A$8:B$18,2,FALSE),'2nd Innings'!Q$8:Q$18)</f>
        <v>0</v>
      </c>
      <c r="L136" s="110">
        <f>COUNTIFS($C$8:$C$18,"caught",$D$8:$D$18,VLOOKUP(5,'2nd Innings'!$A$8:$B$18,2,FALSE))+COUNTIFS($C$8:$C$18,"caught WK",$D$8:$D$18,VLOOKUP(5,'2nd Innings'!$A$8:$B$18,2,FALSE))</f>
        <v>0</v>
      </c>
      <c r="M136" s="110">
        <f>COUNTIFS($C$8:$C$18,"Run Out",$D$8:$D$18,VLOOKUP(5,'2nd Innings'!$A$8:$B$18,2,FALSE))</f>
        <v>0</v>
      </c>
      <c r="N136" s="110">
        <f>COUNTIFS($C$8:$C$18,"Stumped",$D$8:$D$18,VLOOKUP(5,'2nd Innings'!$A$8:$B$18,2,FALSE))</f>
        <v>0</v>
      </c>
      <c r="O136" s="110">
        <f t="shared" si="18"/>
        <v>0</v>
      </c>
      <c r="P136" s="110">
        <f t="shared" si="5"/>
        <v>0</v>
      </c>
      <c r="Q136" s="110">
        <f t="shared" si="19"/>
        <v>0</v>
      </c>
      <c r="R136" s="110" t="e">
        <f>VLOOKUP(VLOOKUP(5,'2nd Innings'!$A$8:$B$18,2,FALSE),$D$26:$N$36,2,FALSE)</f>
        <v>#N/A</v>
      </c>
      <c r="S136" s="110" t="e">
        <f>VLOOKUP(VLOOKUP(5,'2nd Innings'!$A$8:$B$18,2,FALSE),$D$26:$N$36,3,FALSE)</f>
        <v>#N/A</v>
      </c>
      <c r="T136" s="110" t="e">
        <f>VLOOKUP(VLOOKUP(5,'2nd Innings'!$A$8:$B$18,2,FALSE),$D$26:$N$36,4,FALSE)</f>
        <v>#N/A</v>
      </c>
      <c r="U136" s="110" t="e">
        <f>VLOOKUP(VLOOKUP(5,'2nd Innings'!$A$8:$B$18,2,FALSE),$D$26:$N$36,5,FALSE)</f>
        <v>#N/A</v>
      </c>
      <c r="V136" s="110" t="e">
        <f>VLOOKUP(VLOOKUP(5,'2nd Innings'!$A$8:$B$18,2,FALSE),$D$26:$N$36,6,FALSE)</f>
        <v>#N/A</v>
      </c>
      <c r="W136" s="110" t="e">
        <f>VLOOKUP(VLOOKUP(5,'2nd Innings'!$A$8:$B$18,2,FALSE),$D$26:$N$36,7,FALSE)</f>
        <v>#N/A</v>
      </c>
      <c r="X136" s="110" t="e">
        <f>VLOOKUP(VLOOKUP(5,'2nd Innings'!$A$8:$B$18,2,FALSE),$D$26:$N$36,10,FALSE)</f>
        <v>#N/A</v>
      </c>
      <c r="Y136" s="110" t="e">
        <f>VLOOKUP(VLOOKUP(5,'2nd Innings'!$A$8:$B$18,2,FALSE),$D$26:$N$36,11,FALSE)</f>
        <v>#N/A</v>
      </c>
      <c r="Z136" s="110">
        <f t="shared" si="6"/>
        <v>0</v>
      </c>
      <c r="AA136" s="110">
        <f t="shared" si="20"/>
        <v>0</v>
      </c>
      <c r="AB136" s="110">
        <f t="shared" si="21"/>
        <v>0</v>
      </c>
      <c r="AC136" s="110">
        <f t="shared" si="22"/>
        <v>0</v>
      </c>
      <c r="AD136" s="111" t="e">
        <f t="shared" si="7"/>
        <v>#DIV/0!</v>
      </c>
      <c r="AE136" s="111" t="e">
        <f t="shared" si="23"/>
        <v>#DIV/0!</v>
      </c>
      <c r="AF136" s="112" t="e">
        <f t="shared" si="24"/>
        <v>#DIV/0!</v>
      </c>
      <c r="AG136" s="113" t="e">
        <f t="shared" si="8"/>
        <v>#N/A</v>
      </c>
      <c r="AH136" s="114">
        <f t="shared" si="9"/>
        <v>0</v>
      </c>
      <c r="AI136" s="115" t="e">
        <f t="shared" si="25"/>
        <v>#DIV/0!</v>
      </c>
      <c r="AJ136" s="111" t="e">
        <f t="shared" si="26"/>
        <v>#DIV/0!</v>
      </c>
      <c r="AK136" s="111" t="e">
        <f t="shared" si="27"/>
        <v>#DIV/0!</v>
      </c>
      <c r="AL136" s="116" t="e">
        <f t="shared" si="10"/>
        <v>#N/A</v>
      </c>
      <c r="AM136" s="116" t="e">
        <f t="shared" si="32"/>
        <v>#N/A</v>
      </c>
      <c r="AN136" s="117" t="e">
        <f t="shared" si="33"/>
        <v>#N/A</v>
      </c>
      <c r="AO136" s="117" t="e">
        <f>(1-NORMDIST(AN136,$P$32,($P$32/4),TRUE))*(R136/($E$37+'2nd Innings'!$E$37))</f>
        <v>#N/A</v>
      </c>
      <c r="AP136" s="116" t="e">
        <f>(AO136/AO$143)*(200-(8*($H$37+'2nd Innings'!$H$37)))</f>
        <v>#N/A</v>
      </c>
      <c r="AQ136" s="111" t="e">
        <f t="shared" si="11"/>
        <v>#N/A</v>
      </c>
      <c r="AR136" s="110">
        <f>'2nd Innings'!$F$22</f>
        <v>0</v>
      </c>
      <c r="AS136" s="118">
        <f t="shared" si="52"/>
        <v>1</v>
      </c>
      <c r="AT136" s="166">
        <f t="shared" si="53"/>
        <v>0</v>
      </c>
      <c r="AU136" s="110">
        <f>COUNTIFS($C$8:$C$18,"caught WK",$D$8:$D$18,VLOOKUP(5,'2nd Innings'!$A$8:$B$18,2,FALSE))+N136</f>
        <v>0</v>
      </c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</row>
    <row r="137" spans="1:72" x14ac:dyDescent="0.25">
      <c r="A137" s="140">
        <f>'2nd Innings'!B13</f>
        <v>0</v>
      </c>
      <c r="B137" s="116">
        <f>'2nd Innings'!A13</f>
        <v>6</v>
      </c>
      <c r="C137" s="116">
        <v>1</v>
      </c>
      <c r="D137" s="116">
        <f>1-COUNTBLANK('2nd Innings'!C13)</f>
        <v>0</v>
      </c>
      <c r="E137" s="116">
        <f>COUNTIF('2nd Innings'!C13,"not out")</f>
        <v>0</v>
      </c>
      <c r="F137" s="116">
        <f>'2nd Innings'!F13</f>
        <v>0</v>
      </c>
      <c r="G137" s="116">
        <f>'2nd Innings'!G13</f>
        <v>0</v>
      </c>
      <c r="H137" s="141">
        <f>'2nd Innings'!I13</f>
        <v>0</v>
      </c>
      <c r="I137" s="116">
        <f>'2nd Innings'!J13</f>
        <v>0</v>
      </c>
      <c r="J137" s="116">
        <f>'2nd Innings'!K13</f>
        <v>0</v>
      </c>
      <c r="K137" s="110">
        <f>SUMIF('2nd Innings'!O8:O18,VLOOKUP(6,'2nd Innings'!A$8:B$18,2,FALSE),'2nd Innings'!Q$8:Q$18)+SUMIF('2nd Innings'!P$8:P$18,VLOOKUP(6,'2nd Innings'!A$8:B$18,2,FALSE),'2nd Innings'!Q$8:Q$18)</f>
        <v>0</v>
      </c>
      <c r="L137" s="110">
        <f>COUNTIFS($C$8:$C$18,"caught",$D$8:$D$18,VLOOKUP(6,'2nd Innings'!$A$8:$B$18,2,FALSE))+COUNTIFS($C$8:$C$18,"caught WK",$D$8:$D$18,VLOOKUP(6,'2nd Innings'!$A$8:$B$18,2,FALSE))</f>
        <v>0</v>
      </c>
      <c r="M137" s="110">
        <f>COUNTIFS($C$8:$C$18,"Run Out",$D$8:$D$18,VLOOKUP(6,'2nd Innings'!$A$8:$B$18,2,FALSE))</f>
        <v>0</v>
      </c>
      <c r="N137" s="110">
        <f>COUNTIFS($C$8:$C$18,"Stumped",$D$8:$D$18,VLOOKUP(6,'2nd Innings'!$A$8:$B$18,2,FALSE))</f>
        <v>0</v>
      </c>
      <c r="O137" s="110">
        <f t="shared" si="18"/>
        <v>0</v>
      </c>
      <c r="P137" s="110">
        <f t="shared" si="5"/>
        <v>0</v>
      </c>
      <c r="Q137" s="110">
        <f t="shared" si="19"/>
        <v>0</v>
      </c>
      <c r="R137" s="110" t="e">
        <f>VLOOKUP(VLOOKUP(6,'2nd Innings'!$A$8:$B$18,2,FALSE),$D$26:$N$36,2,FALSE)</f>
        <v>#N/A</v>
      </c>
      <c r="S137" s="110" t="e">
        <f>VLOOKUP(VLOOKUP(6,'2nd Innings'!$A$8:$B$18,2,FALSE),$D$26:$N$36,3,FALSE)</f>
        <v>#N/A</v>
      </c>
      <c r="T137" s="110" t="e">
        <f>VLOOKUP(VLOOKUP(6,'2nd Innings'!$A$8:$B$18,2,FALSE),$D$26:$N$36,4,FALSE)</f>
        <v>#N/A</v>
      </c>
      <c r="U137" s="110" t="e">
        <f>VLOOKUP(VLOOKUP(6,'2nd Innings'!$A$8:$B$18,2,FALSE),$D$26:$N$36,5,FALSE)</f>
        <v>#N/A</v>
      </c>
      <c r="V137" s="110" t="e">
        <f>VLOOKUP(VLOOKUP(6,'2nd Innings'!$A$8:$B$18,2,FALSE),$D$26:$N$36,6,FALSE)</f>
        <v>#N/A</v>
      </c>
      <c r="W137" s="110" t="e">
        <f>VLOOKUP(VLOOKUP(6,'2nd Innings'!$A$8:$B$18,2,FALSE),$D$26:$N$36,7,FALSE)</f>
        <v>#N/A</v>
      </c>
      <c r="X137" s="110" t="e">
        <f>VLOOKUP(VLOOKUP(6,'2nd Innings'!$A$8:$B$18,2,FALSE),$D$26:$N$36,10,FALSE)</f>
        <v>#N/A</v>
      </c>
      <c r="Y137" s="110" t="e">
        <f>VLOOKUP(VLOOKUP(6,'2nd Innings'!$A$8:$B$18,2,FALSE),$D$26:$N$36,11,FALSE)</f>
        <v>#N/A</v>
      </c>
      <c r="Z137" s="110">
        <f t="shared" si="6"/>
        <v>0</v>
      </c>
      <c r="AA137" s="110">
        <f t="shared" si="20"/>
        <v>0</v>
      </c>
      <c r="AB137" s="110">
        <f t="shared" si="21"/>
        <v>0</v>
      </c>
      <c r="AC137" s="110">
        <f t="shared" si="22"/>
        <v>0</v>
      </c>
      <c r="AD137" s="111" t="e">
        <f t="shared" si="7"/>
        <v>#DIV/0!</v>
      </c>
      <c r="AE137" s="111" t="e">
        <f t="shared" si="23"/>
        <v>#DIV/0!</v>
      </c>
      <c r="AF137" s="112" t="e">
        <f t="shared" si="24"/>
        <v>#DIV/0!</v>
      </c>
      <c r="AG137" s="113" t="e">
        <f t="shared" si="8"/>
        <v>#N/A</v>
      </c>
      <c r="AH137" s="114">
        <f t="shared" si="9"/>
        <v>0</v>
      </c>
      <c r="AI137" s="115" t="e">
        <f t="shared" si="25"/>
        <v>#DIV/0!</v>
      </c>
      <c r="AJ137" s="111" t="e">
        <f t="shared" si="26"/>
        <v>#DIV/0!</v>
      </c>
      <c r="AK137" s="111" t="e">
        <f t="shared" si="27"/>
        <v>#DIV/0!</v>
      </c>
      <c r="AL137" s="116" t="e">
        <f t="shared" si="10"/>
        <v>#N/A</v>
      </c>
      <c r="AM137" s="116" t="e">
        <f t="shared" si="32"/>
        <v>#N/A</v>
      </c>
      <c r="AN137" s="117" t="e">
        <f t="shared" si="33"/>
        <v>#N/A</v>
      </c>
      <c r="AO137" s="117" t="e">
        <f>(1-NORMDIST(AN137,$P$32,($P$32/4),TRUE))*(R137/($E$37+'2nd Innings'!$E$37))</f>
        <v>#N/A</v>
      </c>
      <c r="AP137" s="116" t="e">
        <f>(AO137/AO$143)*(200-(8*($H$37+'2nd Innings'!$H$37)))</f>
        <v>#N/A</v>
      </c>
      <c r="AQ137" s="111" t="e">
        <f t="shared" si="11"/>
        <v>#N/A</v>
      </c>
      <c r="AR137" s="110">
        <f>'2nd Innings'!$F$22</f>
        <v>0</v>
      </c>
      <c r="AS137" s="118">
        <f t="shared" si="52"/>
        <v>1</v>
      </c>
      <c r="AT137" s="166">
        <f t="shared" si="53"/>
        <v>0</v>
      </c>
      <c r="AU137" s="110">
        <f>COUNTIFS($C$8:$C$18,"caught WK",$D$8:$D$18,VLOOKUP(6,'2nd Innings'!$A$8:$B$18,2,FALSE))+N137</f>
        <v>0</v>
      </c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</row>
    <row r="138" spans="1:72" x14ac:dyDescent="0.25">
      <c r="A138" s="140">
        <f>'2nd Innings'!B14</f>
        <v>0</v>
      </c>
      <c r="B138" s="116">
        <f>'2nd Innings'!A14</f>
        <v>7</v>
      </c>
      <c r="C138" s="116">
        <v>1</v>
      </c>
      <c r="D138" s="116">
        <f>1-COUNTBLANK('2nd Innings'!C14)</f>
        <v>0</v>
      </c>
      <c r="E138" s="116">
        <f>COUNTIF('2nd Innings'!C14,"not out")</f>
        <v>0</v>
      </c>
      <c r="F138" s="116">
        <f>'2nd Innings'!F14</f>
        <v>0</v>
      </c>
      <c r="G138" s="116">
        <f>'2nd Innings'!G14</f>
        <v>0</v>
      </c>
      <c r="H138" s="141">
        <f>'2nd Innings'!I14</f>
        <v>0</v>
      </c>
      <c r="I138" s="116">
        <f>'2nd Innings'!J14</f>
        <v>0</v>
      </c>
      <c r="J138" s="116">
        <f>'2nd Innings'!K14</f>
        <v>0</v>
      </c>
      <c r="K138" s="110">
        <f>SUMIF('2nd Innings'!O8:O18,VLOOKUP(7,'2nd Innings'!A$8:B$18,2,FALSE),'2nd Innings'!Q$8:Q$18)+SUMIF('2nd Innings'!P$8:P$18,VLOOKUP(7,'2nd Innings'!A$8:B$18,2,FALSE),'2nd Innings'!Q$8:Q$18)</f>
        <v>0</v>
      </c>
      <c r="L138" s="110">
        <f>COUNTIFS($C$8:$C$18,"caught",$D$8:$D$18,VLOOKUP(7,'2nd Innings'!$A$8:$B$18,2,FALSE))+COUNTIFS($C$8:$C$18,"caught WK",$D$8:$D$18,VLOOKUP(7,'2nd Innings'!$A$8:$B$18,2,FALSE))</f>
        <v>0</v>
      </c>
      <c r="M138" s="110">
        <f>COUNTIFS($C$8:$C$18,"Run Out",$D$8:$D$18,VLOOKUP(7,'2nd Innings'!$A$8:$B$18,2,FALSE))</f>
        <v>0</v>
      </c>
      <c r="N138" s="110">
        <f>COUNTIFS($C$8:$C$18,"Stumped",$D$8:$D$18,VLOOKUP(7,'2nd Innings'!$A$8:$B$18,2,FALSE))</f>
        <v>0</v>
      </c>
      <c r="O138" s="110">
        <f t="shared" si="18"/>
        <v>0</v>
      </c>
      <c r="P138" s="110">
        <f t="shared" si="5"/>
        <v>0</v>
      </c>
      <c r="Q138" s="110">
        <f t="shared" si="19"/>
        <v>0</v>
      </c>
      <c r="R138" s="110" t="e">
        <f>VLOOKUP(VLOOKUP(7,'2nd Innings'!$A$8:$B$18,2,FALSE),$D$26:$N$36,2,FALSE)</f>
        <v>#N/A</v>
      </c>
      <c r="S138" s="110" t="e">
        <f>VLOOKUP(VLOOKUP(7,'2nd Innings'!$A$8:$B$18,2,FALSE),$D$26:$N$36,3,FALSE)</f>
        <v>#N/A</v>
      </c>
      <c r="T138" s="110" t="e">
        <f>VLOOKUP(VLOOKUP(7,'2nd Innings'!$A$8:$B$18,2,FALSE),$D$26:$N$36,4,FALSE)</f>
        <v>#N/A</v>
      </c>
      <c r="U138" s="110" t="e">
        <f>VLOOKUP(VLOOKUP(7,'2nd Innings'!$A$8:$B$18,2,FALSE),$D$26:$N$36,5,FALSE)</f>
        <v>#N/A</v>
      </c>
      <c r="V138" s="110" t="e">
        <f>VLOOKUP(VLOOKUP(7,'2nd Innings'!$A$8:$B$18,2,FALSE),$D$26:$N$36,6,FALSE)</f>
        <v>#N/A</v>
      </c>
      <c r="W138" s="110" t="e">
        <f>VLOOKUP(VLOOKUP(7,'2nd Innings'!$A$8:$B$18,2,FALSE),$D$26:$N$36,7,FALSE)</f>
        <v>#N/A</v>
      </c>
      <c r="X138" s="110" t="e">
        <f>VLOOKUP(VLOOKUP(7,'2nd Innings'!$A$8:$B$18,2,FALSE),$D$26:$N$36,10,FALSE)</f>
        <v>#N/A</v>
      </c>
      <c r="Y138" s="110" t="e">
        <f>VLOOKUP(VLOOKUP(7,'2nd Innings'!$A$8:$B$18,2,FALSE),$D$26:$N$36,11,FALSE)</f>
        <v>#N/A</v>
      </c>
      <c r="Z138" s="110">
        <f t="shared" si="6"/>
        <v>0</v>
      </c>
      <c r="AA138" s="110">
        <f t="shared" si="20"/>
        <v>0</v>
      </c>
      <c r="AB138" s="110">
        <f t="shared" si="21"/>
        <v>0</v>
      </c>
      <c r="AC138" s="110">
        <f t="shared" si="22"/>
        <v>0</v>
      </c>
      <c r="AD138" s="111" t="e">
        <f t="shared" si="7"/>
        <v>#DIV/0!</v>
      </c>
      <c r="AE138" s="111" t="e">
        <f t="shared" si="23"/>
        <v>#DIV/0!</v>
      </c>
      <c r="AF138" s="112" t="e">
        <f t="shared" si="24"/>
        <v>#DIV/0!</v>
      </c>
      <c r="AG138" s="113" t="e">
        <f t="shared" si="8"/>
        <v>#N/A</v>
      </c>
      <c r="AH138" s="114">
        <f t="shared" si="9"/>
        <v>0</v>
      </c>
      <c r="AI138" s="115" t="e">
        <f t="shared" si="25"/>
        <v>#DIV/0!</v>
      </c>
      <c r="AJ138" s="111" t="e">
        <f t="shared" si="26"/>
        <v>#DIV/0!</v>
      </c>
      <c r="AK138" s="111" t="e">
        <f t="shared" si="27"/>
        <v>#DIV/0!</v>
      </c>
      <c r="AL138" s="116" t="e">
        <f t="shared" si="10"/>
        <v>#N/A</v>
      </c>
      <c r="AM138" s="116" t="e">
        <f t="shared" si="32"/>
        <v>#N/A</v>
      </c>
      <c r="AN138" s="117" t="e">
        <f t="shared" si="33"/>
        <v>#N/A</v>
      </c>
      <c r="AO138" s="117" t="e">
        <f>(1-NORMDIST(AN138,$P$32,($P$32/4),TRUE))*(R138/($E$37+'2nd Innings'!$E$37))</f>
        <v>#N/A</v>
      </c>
      <c r="AP138" s="116" t="e">
        <f>(AO138/AO$143)*(200-(8*($H$37+'2nd Innings'!$H$37)))</f>
        <v>#N/A</v>
      </c>
      <c r="AQ138" s="111" t="e">
        <f t="shared" si="11"/>
        <v>#N/A</v>
      </c>
      <c r="AR138" s="110">
        <f>'2nd Innings'!$F$22</f>
        <v>0</v>
      </c>
      <c r="AS138" s="118">
        <f t="shared" si="52"/>
        <v>1</v>
      </c>
      <c r="AT138" s="166">
        <f t="shared" si="53"/>
        <v>0</v>
      </c>
      <c r="AU138" s="110">
        <f>COUNTIFS($C$8:$C$18,"caught WK",$D$8:$D$18,VLOOKUP(7,'2nd Innings'!$A$8:$B$18,2,FALSE))+N138</f>
        <v>0</v>
      </c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</row>
    <row r="139" spans="1:72" x14ac:dyDescent="0.25">
      <c r="A139" s="140">
        <f>'2nd Innings'!B15</f>
        <v>0</v>
      </c>
      <c r="B139" s="116">
        <f>'2nd Innings'!A15</f>
        <v>8</v>
      </c>
      <c r="C139" s="116">
        <v>1</v>
      </c>
      <c r="D139" s="116">
        <f>1-COUNTBLANK('2nd Innings'!C15)</f>
        <v>0</v>
      </c>
      <c r="E139" s="116">
        <f>COUNTIF('2nd Innings'!C15,"not out")</f>
        <v>0</v>
      </c>
      <c r="F139" s="116">
        <f>'2nd Innings'!F15</f>
        <v>0</v>
      </c>
      <c r="G139" s="116">
        <f>'2nd Innings'!G15</f>
        <v>0</v>
      </c>
      <c r="H139" s="141">
        <f>'2nd Innings'!I15</f>
        <v>0</v>
      </c>
      <c r="I139" s="116">
        <f>'2nd Innings'!J15</f>
        <v>0</v>
      </c>
      <c r="J139" s="116">
        <f>'2nd Innings'!K15</f>
        <v>0</v>
      </c>
      <c r="K139" s="110">
        <f>SUMIF('2nd Innings'!O8:O18,VLOOKUP(8,'2nd Innings'!A$8:B$18,2,FALSE),'2nd Innings'!Q$8:Q$18)+SUMIF('2nd Innings'!P$8:P$18,VLOOKUP(8,'2nd Innings'!A$8:B$18,2,FALSE),'2nd Innings'!Q$8:Q$18)</f>
        <v>0</v>
      </c>
      <c r="L139" s="110">
        <f>COUNTIFS($C$8:$C$18,"caught",$D$8:$D$18,VLOOKUP(8,'2nd Innings'!$A$8:$B$18,2,FALSE))+COUNTIFS($C$8:$C$18,"caught WK",$D$8:$D$18,VLOOKUP(8,'2nd Innings'!$A$8:$B$18,2,FALSE))</f>
        <v>0</v>
      </c>
      <c r="M139" s="110">
        <f>COUNTIFS($C$8:$C$18,"Run Out",$D$8:$D$18,VLOOKUP(8,'2nd Innings'!$A$8:$B$18,2,FALSE))</f>
        <v>0</v>
      </c>
      <c r="N139" s="110">
        <f>COUNTIFS($C$8:$C$18,"Stumped",$D$8:$D$18,VLOOKUP(8,'2nd Innings'!$A$8:$B$18,2,FALSE))</f>
        <v>0</v>
      </c>
      <c r="O139" s="110">
        <f t="shared" si="18"/>
        <v>0</v>
      </c>
      <c r="P139" s="110">
        <f t="shared" si="5"/>
        <v>0</v>
      </c>
      <c r="Q139" s="110">
        <f t="shared" si="19"/>
        <v>0</v>
      </c>
      <c r="R139" s="110" t="e">
        <f>VLOOKUP(VLOOKUP(8,'2nd Innings'!$A$8:$B$18,2,FALSE),$D$26:$N$36,2,FALSE)</f>
        <v>#N/A</v>
      </c>
      <c r="S139" s="110" t="e">
        <f>VLOOKUP(VLOOKUP(8,'2nd Innings'!$A$8:$B$18,2,FALSE),$D$26:$N$36,3,FALSE)</f>
        <v>#N/A</v>
      </c>
      <c r="T139" s="110" t="e">
        <f>VLOOKUP(VLOOKUP(8,'2nd Innings'!$A$8:$B$18,2,FALSE),$D$26:$N$36,4,FALSE)</f>
        <v>#N/A</v>
      </c>
      <c r="U139" s="110" t="e">
        <f>VLOOKUP(VLOOKUP(8,'2nd Innings'!$A$8:$B$18,2,FALSE),$D$26:$N$36,5,FALSE)</f>
        <v>#N/A</v>
      </c>
      <c r="V139" s="110" t="e">
        <f>VLOOKUP(VLOOKUP(8,'2nd Innings'!$A$8:$B$18,2,FALSE),$D$26:$N$36,6,FALSE)</f>
        <v>#N/A</v>
      </c>
      <c r="W139" s="110" t="e">
        <f>VLOOKUP(VLOOKUP(8,'2nd Innings'!$A$8:$B$18,2,FALSE),$D$26:$N$36,7,FALSE)</f>
        <v>#N/A</v>
      </c>
      <c r="X139" s="110" t="e">
        <f>VLOOKUP(VLOOKUP(8,'2nd Innings'!$A$8:$B$18,2,FALSE),$D$26:$N$36,10,FALSE)</f>
        <v>#N/A</v>
      </c>
      <c r="Y139" s="110" t="e">
        <f>VLOOKUP(VLOOKUP(8,'2nd Innings'!$A$8:$B$18,2,FALSE),$D$26:$N$36,11,FALSE)</f>
        <v>#N/A</v>
      </c>
      <c r="Z139" s="110">
        <f t="shared" si="6"/>
        <v>0</v>
      </c>
      <c r="AA139" s="110">
        <f t="shared" si="20"/>
        <v>0</v>
      </c>
      <c r="AB139" s="110">
        <f t="shared" si="21"/>
        <v>0</v>
      </c>
      <c r="AC139" s="110">
        <f t="shared" si="22"/>
        <v>0</v>
      </c>
      <c r="AD139" s="111" t="e">
        <f t="shared" si="7"/>
        <v>#DIV/0!</v>
      </c>
      <c r="AE139" s="111" t="e">
        <f t="shared" si="23"/>
        <v>#DIV/0!</v>
      </c>
      <c r="AF139" s="112" t="e">
        <f t="shared" si="24"/>
        <v>#DIV/0!</v>
      </c>
      <c r="AG139" s="113" t="e">
        <f t="shared" si="8"/>
        <v>#N/A</v>
      </c>
      <c r="AH139" s="114">
        <f t="shared" si="9"/>
        <v>0</v>
      </c>
      <c r="AI139" s="115" t="e">
        <f t="shared" si="25"/>
        <v>#DIV/0!</v>
      </c>
      <c r="AJ139" s="111" t="e">
        <f t="shared" si="26"/>
        <v>#DIV/0!</v>
      </c>
      <c r="AK139" s="111" t="e">
        <f t="shared" si="27"/>
        <v>#DIV/0!</v>
      </c>
      <c r="AL139" s="116" t="e">
        <f t="shared" si="10"/>
        <v>#N/A</v>
      </c>
      <c r="AM139" s="116" t="e">
        <f t="shared" si="32"/>
        <v>#N/A</v>
      </c>
      <c r="AN139" s="117" t="e">
        <f t="shared" si="33"/>
        <v>#N/A</v>
      </c>
      <c r="AO139" s="117" t="e">
        <f>(1-NORMDIST(AN139,$P$32,($P$32/4),TRUE))*(R139/($E$37+'2nd Innings'!$E$37))</f>
        <v>#N/A</v>
      </c>
      <c r="AP139" s="116" t="e">
        <f>(AO139/AO$143)*(200-(8*($H$37+'2nd Innings'!$H$37)))</f>
        <v>#N/A</v>
      </c>
      <c r="AQ139" s="111" t="e">
        <f t="shared" si="11"/>
        <v>#N/A</v>
      </c>
      <c r="AR139" s="110">
        <f>'2nd Innings'!$F$22</f>
        <v>0</v>
      </c>
      <c r="AS139" s="118">
        <f t="shared" si="52"/>
        <v>1</v>
      </c>
      <c r="AT139" s="166">
        <f t="shared" si="53"/>
        <v>0</v>
      </c>
      <c r="AU139" s="110">
        <f>COUNTIFS($C$8:$C$18,"caught WK",$D$8:$D$18,VLOOKUP(8,'2nd Innings'!$A$8:$B$18,2,FALSE))+N139</f>
        <v>0</v>
      </c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</row>
    <row r="140" spans="1:72" x14ac:dyDescent="0.25">
      <c r="A140" s="140">
        <f>'2nd Innings'!B16</f>
        <v>0</v>
      </c>
      <c r="B140" s="116">
        <f>'2nd Innings'!A16</f>
        <v>9</v>
      </c>
      <c r="C140" s="116">
        <v>1</v>
      </c>
      <c r="D140" s="116">
        <f>1-COUNTBLANK('2nd Innings'!C16)</f>
        <v>0</v>
      </c>
      <c r="E140" s="116">
        <f>COUNTIF('2nd Innings'!C16,"not out")</f>
        <v>0</v>
      </c>
      <c r="F140" s="116">
        <f>'2nd Innings'!F16</f>
        <v>0</v>
      </c>
      <c r="G140" s="116">
        <f>'2nd Innings'!G16</f>
        <v>0</v>
      </c>
      <c r="H140" s="141">
        <f>'2nd Innings'!I16</f>
        <v>0</v>
      </c>
      <c r="I140" s="116">
        <f>'2nd Innings'!J16</f>
        <v>0</v>
      </c>
      <c r="J140" s="116">
        <f>'2nd Innings'!K16</f>
        <v>0</v>
      </c>
      <c r="K140" s="110">
        <f>SUMIF('2nd Innings'!O8:O18,VLOOKUP(9,'2nd Innings'!A$8:B$18,2,FALSE),'2nd Innings'!Q$8:Q$18)+SUMIF('2nd Innings'!P$8:P$18,VLOOKUP(9,'2nd Innings'!A$8:B$18,2,FALSE),'2nd Innings'!Q$8:Q$18)</f>
        <v>0</v>
      </c>
      <c r="L140" s="110">
        <f>COUNTIFS($C$8:$C$18,"caught",$D$8:$D$18,VLOOKUP(9,'2nd Innings'!$A$8:$B$18,2,FALSE))+COUNTIFS($C$8:$C$18,"caught WK",$D$8:$D$18,VLOOKUP(9,'2nd Innings'!$A$8:$B$18,2,FALSE))</f>
        <v>0</v>
      </c>
      <c r="M140" s="110">
        <f>COUNTIFS($C$8:$C$18,"Run Out",$D$8:$D$18,VLOOKUP(9,'2nd Innings'!$A$8:$B$18,2,FALSE))</f>
        <v>0</v>
      </c>
      <c r="N140" s="110">
        <f>COUNTIFS($C$8:$C$18,"Stumped",$D$8:$D$18,VLOOKUP(9,'2nd Innings'!$A$8:$B$18,2,FALSE))</f>
        <v>0</v>
      </c>
      <c r="O140" s="110">
        <f t="shared" si="18"/>
        <v>0</v>
      </c>
      <c r="P140" s="110">
        <f t="shared" si="5"/>
        <v>0</v>
      </c>
      <c r="Q140" s="110">
        <f t="shared" si="19"/>
        <v>0</v>
      </c>
      <c r="R140" s="110" t="e">
        <f>VLOOKUP(VLOOKUP(9,'2nd Innings'!$A$8:$B$18,2,FALSE),$D$26:$N$36,2,FALSE)</f>
        <v>#N/A</v>
      </c>
      <c r="S140" s="110" t="e">
        <f>VLOOKUP(VLOOKUP(9,'2nd Innings'!$A$8:$B$18,2,FALSE),$D$26:$N$36,3,FALSE)</f>
        <v>#N/A</v>
      </c>
      <c r="T140" s="110" t="e">
        <f>VLOOKUP(VLOOKUP(9,'2nd Innings'!$A$8:$B$18,2,FALSE),$D$26:$N$36,4,FALSE)</f>
        <v>#N/A</v>
      </c>
      <c r="U140" s="110" t="e">
        <f>VLOOKUP(VLOOKUP(9,'2nd Innings'!$A$8:$B$18,2,FALSE),$D$26:$N$36,5,FALSE)</f>
        <v>#N/A</v>
      </c>
      <c r="V140" s="110" t="e">
        <f>VLOOKUP(VLOOKUP(9,'2nd Innings'!$A$8:$B$18,2,FALSE),$D$26:$N$36,6,FALSE)</f>
        <v>#N/A</v>
      </c>
      <c r="W140" s="110" t="e">
        <f>VLOOKUP(VLOOKUP(9,'2nd Innings'!$A$8:$B$18,2,FALSE),$D$26:$N$36,7,FALSE)</f>
        <v>#N/A</v>
      </c>
      <c r="X140" s="110" t="e">
        <f>VLOOKUP(VLOOKUP(9,'2nd Innings'!$A$8:$B$18,2,FALSE),$D$26:$N$36,10,FALSE)</f>
        <v>#N/A</v>
      </c>
      <c r="Y140" s="110" t="e">
        <f>VLOOKUP(VLOOKUP(9,'2nd Innings'!$A$8:$B$18,2,FALSE),$D$26:$N$36,11,FALSE)</f>
        <v>#N/A</v>
      </c>
      <c r="Z140" s="110">
        <f t="shared" si="6"/>
        <v>0</v>
      </c>
      <c r="AA140" s="110">
        <f t="shared" si="20"/>
        <v>0</v>
      </c>
      <c r="AB140" s="110">
        <f t="shared" si="21"/>
        <v>0</v>
      </c>
      <c r="AC140" s="110">
        <f t="shared" si="22"/>
        <v>0</v>
      </c>
      <c r="AD140" s="111" t="e">
        <f t="shared" si="7"/>
        <v>#DIV/0!</v>
      </c>
      <c r="AE140" s="111" t="e">
        <f t="shared" si="23"/>
        <v>#DIV/0!</v>
      </c>
      <c r="AF140" s="112" t="e">
        <f t="shared" si="24"/>
        <v>#DIV/0!</v>
      </c>
      <c r="AG140" s="113" t="e">
        <f t="shared" si="8"/>
        <v>#N/A</v>
      </c>
      <c r="AH140" s="114">
        <f t="shared" si="9"/>
        <v>0</v>
      </c>
      <c r="AI140" s="115" t="e">
        <f t="shared" si="25"/>
        <v>#DIV/0!</v>
      </c>
      <c r="AJ140" s="111" t="e">
        <f t="shared" si="26"/>
        <v>#DIV/0!</v>
      </c>
      <c r="AK140" s="111" t="e">
        <f t="shared" si="27"/>
        <v>#DIV/0!</v>
      </c>
      <c r="AL140" s="116" t="e">
        <f t="shared" si="10"/>
        <v>#N/A</v>
      </c>
      <c r="AM140" s="116" t="e">
        <f t="shared" si="32"/>
        <v>#N/A</v>
      </c>
      <c r="AN140" s="117" t="e">
        <f t="shared" si="33"/>
        <v>#N/A</v>
      </c>
      <c r="AO140" s="117" t="e">
        <f>(1-NORMDIST(AN140,$P$32,($P$32/4),TRUE))*(R140/($E$37+'2nd Innings'!$E$37))</f>
        <v>#N/A</v>
      </c>
      <c r="AP140" s="116" t="e">
        <f>(AO140/AO$143)*(200-(8*($H$37+'2nd Innings'!$H$37)))</f>
        <v>#N/A</v>
      </c>
      <c r="AQ140" s="111" t="e">
        <f t="shared" si="11"/>
        <v>#N/A</v>
      </c>
      <c r="AR140" s="110">
        <f>'2nd Innings'!$F$22</f>
        <v>0</v>
      </c>
      <c r="AS140" s="118">
        <f t="shared" si="52"/>
        <v>1</v>
      </c>
      <c r="AT140" s="166">
        <f t="shared" si="53"/>
        <v>0</v>
      </c>
      <c r="AU140" s="110">
        <f>COUNTIFS($C$8:$C$18,"caught WK",$D$8:$D$18,VLOOKUP(9,'2nd Innings'!$A$8:$B$18,2,FALSE))+N140</f>
        <v>0</v>
      </c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</row>
    <row r="141" spans="1:72" x14ac:dyDescent="0.25">
      <c r="A141" s="140">
        <f>'2nd Innings'!B17</f>
        <v>0</v>
      </c>
      <c r="B141" s="116">
        <f>'2nd Innings'!A17</f>
        <v>10</v>
      </c>
      <c r="C141" s="116">
        <v>1</v>
      </c>
      <c r="D141" s="116">
        <f>1-COUNTBLANK('2nd Innings'!C17)</f>
        <v>0</v>
      </c>
      <c r="E141" s="116">
        <f>COUNTIF('2nd Innings'!C17,"not out")</f>
        <v>0</v>
      </c>
      <c r="F141" s="116">
        <f>'2nd Innings'!F17</f>
        <v>0</v>
      </c>
      <c r="G141" s="116">
        <f>'2nd Innings'!G17</f>
        <v>0</v>
      </c>
      <c r="H141" s="141">
        <f>'2nd Innings'!I17</f>
        <v>0</v>
      </c>
      <c r="I141" s="116">
        <f>'2nd Innings'!J17</f>
        <v>0</v>
      </c>
      <c r="J141" s="116">
        <f>'2nd Innings'!K17</f>
        <v>0</v>
      </c>
      <c r="K141" s="110">
        <f>SUMIF('2nd Innings'!O8:O18,VLOOKUP(10,'2nd Innings'!A$8:B$18,2,FALSE),'2nd Innings'!Q$8:Q$18)+SUMIF('2nd Innings'!P$8:P$18,VLOOKUP(10,'2nd Innings'!A$8:B$18,2,FALSE),'2nd Innings'!Q$8:Q$18)</f>
        <v>0</v>
      </c>
      <c r="L141" s="110">
        <f>COUNTIFS($C$8:$C$18,"caught",$D$8:$D$18,VLOOKUP(10,'2nd Innings'!$A$8:$B$18,2,FALSE))+COUNTIFS($C$8:$C$18,"caught WK",$D$8:$D$18,VLOOKUP(10,'2nd Innings'!$A$8:$B$18,2,FALSE))</f>
        <v>0</v>
      </c>
      <c r="M141" s="110">
        <f>COUNTIFS($C$8:$C$18,"Run Out",$D$8:$D$18,VLOOKUP(10,'2nd Innings'!$A$8:$B$18,2,FALSE))</f>
        <v>0</v>
      </c>
      <c r="N141" s="110">
        <f>COUNTIFS($C$8:$C$18,"Stumped",$D$8:$D$18,VLOOKUP(10,'2nd Innings'!$A$8:$B$18,2,FALSE))</f>
        <v>0</v>
      </c>
      <c r="O141" s="110">
        <f t="shared" si="18"/>
        <v>0</v>
      </c>
      <c r="P141" s="110">
        <f t="shared" si="5"/>
        <v>0</v>
      </c>
      <c r="Q141" s="110">
        <f t="shared" si="19"/>
        <v>0</v>
      </c>
      <c r="R141" s="110" t="e">
        <f>VLOOKUP(VLOOKUP(10,'2nd Innings'!$A$8:$B$18,2,FALSE),$D$26:$N$36,2,FALSE)</f>
        <v>#N/A</v>
      </c>
      <c r="S141" s="110" t="e">
        <f>VLOOKUP(VLOOKUP(10,'2nd Innings'!$A$8:$B$18,2,FALSE),$D$26:$N$36,3,FALSE)</f>
        <v>#N/A</v>
      </c>
      <c r="T141" s="110" t="e">
        <f>VLOOKUP(VLOOKUP(10,'2nd Innings'!$A$8:$B$18,2,FALSE),$D$26:$N$36,4,FALSE)</f>
        <v>#N/A</v>
      </c>
      <c r="U141" s="110" t="e">
        <f>VLOOKUP(VLOOKUP(10,'2nd Innings'!$A$8:$B$18,2,FALSE),$D$26:$N$36,5,FALSE)</f>
        <v>#N/A</v>
      </c>
      <c r="V141" s="110" t="e">
        <f>VLOOKUP(VLOOKUP(10,'2nd Innings'!$A$8:$B$18,2,FALSE),$D$26:$N$36,6,FALSE)</f>
        <v>#N/A</v>
      </c>
      <c r="W141" s="110" t="e">
        <f>VLOOKUP(VLOOKUP(10,'2nd Innings'!$A$8:$B$18,2,FALSE),$D$26:$N$36,7,FALSE)</f>
        <v>#N/A</v>
      </c>
      <c r="X141" s="110" t="e">
        <f>VLOOKUP(VLOOKUP(10,'2nd Innings'!$A$8:$B$18,2,FALSE),$D$26:$N$36,10,FALSE)</f>
        <v>#N/A</v>
      </c>
      <c r="Y141" s="110" t="e">
        <f>VLOOKUP(VLOOKUP(10,'2nd Innings'!$A$8:$B$18,2,FALSE),$D$26:$N$36,11,FALSE)</f>
        <v>#N/A</v>
      </c>
      <c r="Z141" s="110">
        <f t="shared" si="6"/>
        <v>0</v>
      </c>
      <c r="AA141" s="110">
        <f t="shared" si="20"/>
        <v>0</v>
      </c>
      <c r="AB141" s="110">
        <f t="shared" si="21"/>
        <v>0</v>
      </c>
      <c r="AC141" s="110">
        <f t="shared" si="22"/>
        <v>0</v>
      </c>
      <c r="AD141" s="111" t="e">
        <f t="shared" si="7"/>
        <v>#DIV/0!</v>
      </c>
      <c r="AE141" s="111" t="e">
        <f t="shared" si="23"/>
        <v>#DIV/0!</v>
      </c>
      <c r="AF141" s="112" t="e">
        <f t="shared" si="24"/>
        <v>#DIV/0!</v>
      </c>
      <c r="AG141" s="113" t="e">
        <f t="shared" si="8"/>
        <v>#N/A</v>
      </c>
      <c r="AH141" s="114">
        <f t="shared" si="9"/>
        <v>0</v>
      </c>
      <c r="AI141" s="115" t="e">
        <f t="shared" si="25"/>
        <v>#DIV/0!</v>
      </c>
      <c r="AJ141" s="111" t="e">
        <f t="shared" si="26"/>
        <v>#DIV/0!</v>
      </c>
      <c r="AK141" s="111" t="e">
        <f t="shared" si="27"/>
        <v>#DIV/0!</v>
      </c>
      <c r="AL141" s="116" t="e">
        <f t="shared" si="10"/>
        <v>#N/A</v>
      </c>
      <c r="AM141" s="116" t="e">
        <f t="shared" si="32"/>
        <v>#N/A</v>
      </c>
      <c r="AN141" s="117" t="e">
        <f t="shared" si="33"/>
        <v>#N/A</v>
      </c>
      <c r="AO141" s="117" t="e">
        <f>(1-NORMDIST(AN141,$P$32,($P$32/4),TRUE))*(R141/($E$37+'2nd Innings'!$E$37))</f>
        <v>#N/A</v>
      </c>
      <c r="AP141" s="116" t="e">
        <f>(AO141/AO$143)*(200-(8*($H$37+'2nd Innings'!$H$37)))</f>
        <v>#N/A</v>
      </c>
      <c r="AQ141" s="111" t="e">
        <f t="shared" si="11"/>
        <v>#N/A</v>
      </c>
      <c r="AR141" s="110">
        <f>'2nd Innings'!$F$22</f>
        <v>0</v>
      </c>
      <c r="AS141" s="118">
        <f>IF(A141=$C$34,1,0)</f>
        <v>1</v>
      </c>
      <c r="AT141" s="166">
        <f t="shared" si="53"/>
        <v>0</v>
      </c>
      <c r="AU141" s="110">
        <f>COUNTIFS($C$8:$C$18,"caught WK",$D$8:$D$18,VLOOKUP(10,'2nd Innings'!$A$8:$B$18,2,FALSE))+N141</f>
        <v>0</v>
      </c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</row>
    <row r="142" spans="1:72" ht="15.75" thickBot="1" x14ac:dyDescent="0.3">
      <c r="A142" s="142">
        <f>'2nd Innings'!B18</f>
        <v>0</v>
      </c>
      <c r="B142" s="125">
        <f>'2nd Innings'!A18</f>
        <v>11</v>
      </c>
      <c r="C142" s="125">
        <v>1</v>
      </c>
      <c r="D142" s="125">
        <f>1-COUNTBLANK('2nd Innings'!C18)</f>
        <v>0</v>
      </c>
      <c r="E142" s="125">
        <f>COUNTIF('2nd Innings'!C18,"not out")</f>
        <v>0</v>
      </c>
      <c r="F142" s="125">
        <f>'2nd Innings'!F18</f>
        <v>0</v>
      </c>
      <c r="G142" s="125">
        <f>'2nd Innings'!G18</f>
        <v>0</v>
      </c>
      <c r="H142" s="143">
        <f>'2nd Innings'!I18</f>
        <v>0</v>
      </c>
      <c r="I142" s="125">
        <f>'2nd Innings'!J18</f>
        <v>0</v>
      </c>
      <c r="J142" s="125">
        <f>'2nd Innings'!K18</f>
        <v>0</v>
      </c>
      <c r="K142" s="119">
        <f>SUMIF('2nd Innings'!O8:O18,VLOOKUP(11,'2nd Innings'!A$8:B$18,2,FALSE),'2nd Innings'!Q$8:Q$18)+SUMIF('2nd Innings'!P$8:P$18,VLOOKUP(11,'2nd Innings'!A$8:B$18,2,FALSE),'2nd Innings'!Q$8:Q$18)</f>
        <v>0</v>
      </c>
      <c r="L142" s="110">
        <f>COUNTIFS($C$8:$C$18,"caught",$D$8:$D$18,VLOOKUP(11,'2nd Innings'!$A$8:$B$18,2,FALSE))+COUNTIFS($C$8:$C$18,"caught WK",$D$8:$D$18,VLOOKUP(11,'2nd Innings'!$A$8:$B$18,2,FALSE))</f>
        <v>0</v>
      </c>
      <c r="M142" s="119">
        <f>COUNTIFS($C$8:$C$18,"Run Out",$D$8:$D$18,VLOOKUP(11,'2nd Innings'!$A$8:$B$18,2,FALSE))</f>
        <v>0</v>
      </c>
      <c r="N142" s="119">
        <f>COUNTIFS($C$8:$C$18,"Stumped",$D$8:$D$18,VLOOKUP(11,'2nd Innings'!$A$8:$B$18,2,FALSE))</f>
        <v>0</v>
      </c>
      <c r="O142" s="119">
        <f t="shared" si="18"/>
        <v>0</v>
      </c>
      <c r="P142" s="110">
        <f t="shared" si="5"/>
        <v>0</v>
      </c>
      <c r="Q142" s="119">
        <f t="shared" si="19"/>
        <v>0</v>
      </c>
      <c r="R142" s="119" t="e">
        <f>VLOOKUP(VLOOKUP(11,'2nd Innings'!$A$8:$B$18,2,FALSE),$D$26:$N$36,2,FALSE)</f>
        <v>#N/A</v>
      </c>
      <c r="S142" s="119" t="e">
        <f>VLOOKUP(VLOOKUP(11,'2nd Innings'!$A$8:$B$18,2,FALSE),$D$26:$N$36,3,FALSE)</f>
        <v>#N/A</v>
      </c>
      <c r="T142" s="119" t="e">
        <f>VLOOKUP(VLOOKUP(11,'2nd Innings'!$A$8:$B$18,2,FALSE),$D$26:$N$36,4,FALSE)</f>
        <v>#N/A</v>
      </c>
      <c r="U142" s="119" t="e">
        <f>VLOOKUP(VLOOKUP(11,'2nd Innings'!$A$8:$B$18,2,FALSE),$D$26:$N$36,5,FALSE)</f>
        <v>#N/A</v>
      </c>
      <c r="V142" s="119" t="e">
        <f>VLOOKUP(VLOOKUP(11,'2nd Innings'!$A$8:$B$18,2,FALSE),$D$26:$N$36,6,FALSE)</f>
        <v>#N/A</v>
      </c>
      <c r="W142" s="119" t="e">
        <f>VLOOKUP(VLOOKUP(11,'2nd Innings'!$A$8:$B$18,2,FALSE),$D$26:$N$36,7,FALSE)</f>
        <v>#N/A</v>
      </c>
      <c r="X142" s="119" t="e">
        <f>VLOOKUP(VLOOKUP(11,'2nd Innings'!$A$8:$B$18,2,FALSE),$D$26:$N$36,10,FALSE)</f>
        <v>#N/A</v>
      </c>
      <c r="Y142" s="119" t="e">
        <f>VLOOKUP(VLOOKUP(11,'2nd Innings'!$A$8:$B$18,2,FALSE),$D$26:$N$36,11,FALSE)</f>
        <v>#N/A</v>
      </c>
      <c r="Z142" s="119">
        <f t="shared" si="6"/>
        <v>0</v>
      </c>
      <c r="AA142" s="119">
        <f t="shared" si="20"/>
        <v>0</v>
      </c>
      <c r="AB142" s="119">
        <f t="shared" si="21"/>
        <v>0</v>
      </c>
      <c r="AC142" s="119">
        <f t="shared" si="22"/>
        <v>0</v>
      </c>
      <c r="AD142" s="111" t="e">
        <f t="shared" si="7"/>
        <v>#DIV/0!</v>
      </c>
      <c r="AE142" s="120" t="e">
        <f t="shared" si="23"/>
        <v>#DIV/0!</v>
      </c>
      <c r="AF142" s="121" t="e">
        <f t="shared" si="24"/>
        <v>#DIV/0!</v>
      </c>
      <c r="AG142" s="122" t="e">
        <f t="shared" si="8"/>
        <v>#N/A</v>
      </c>
      <c r="AH142" s="123">
        <f t="shared" si="9"/>
        <v>0</v>
      </c>
      <c r="AI142" s="124" t="e">
        <f t="shared" si="25"/>
        <v>#DIV/0!</v>
      </c>
      <c r="AJ142" s="120" t="e">
        <f t="shared" si="26"/>
        <v>#DIV/0!</v>
      </c>
      <c r="AK142" s="120" t="e">
        <f t="shared" si="27"/>
        <v>#DIV/0!</v>
      </c>
      <c r="AL142" s="125" t="e">
        <f t="shared" si="10"/>
        <v>#N/A</v>
      </c>
      <c r="AM142" s="125" t="e">
        <f t="shared" si="32"/>
        <v>#N/A</v>
      </c>
      <c r="AN142" s="126" t="e">
        <f t="shared" si="33"/>
        <v>#N/A</v>
      </c>
      <c r="AO142" s="126" t="e">
        <f>(1-NORMDIST(AN142,$P$32,($P$32/4),TRUE))*(R142/($E$37+'2nd Innings'!$E$37))</f>
        <v>#N/A</v>
      </c>
      <c r="AP142" s="125" t="e">
        <f>(AO142/AO$143)*(200-(8*($H$37+'2nd Innings'!$H$37)))</f>
        <v>#N/A</v>
      </c>
      <c r="AQ142" s="120" t="e">
        <f t="shared" si="11"/>
        <v>#N/A</v>
      </c>
      <c r="AR142" s="119">
        <f>'2nd Innings'!$F$22</f>
        <v>0</v>
      </c>
      <c r="AS142" s="127">
        <f>IF(A142=$C$34,1,0)</f>
        <v>1</v>
      </c>
      <c r="AT142" s="166">
        <f t="shared" si="53"/>
        <v>0</v>
      </c>
      <c r="AU142" s="110">
        <f>COUNTIFS($C$8:$C$18,"caught WK",$D$8:$D$18,VLOOKUP(11,'2nd Innings'!$A$8:$B$18,2,FALSE))+N142</f>
        <v>0</v>
      </c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</row>
    <row r="143" spans="1:72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85" t="e">
        <f t="shared" ref="AD143:AI143" si="54">SUM(AD121:AD142)</f>
        <v>#DIV/0!</v>
      </c>
      <c r="AE143" s="85" t="e">
        <f t="shared" si="54"/>
        <v>#DIV/0!</v>
      </c>
      <c r="AF143" s="85" t="e">
        <f t="shared" si="54"/>
        <v>#DIV/0!</v>
      </c>
      <c r="AG143" s="85" t="e">
        <f t="shared" si="54"/>
        <v>#N/A</v>
      </c>
      <c r="AH143" s="85">
        <f t="shared" si="54"/>
        <v>0</v>
      </c>
      <c r="AI143" s="85" t="e">
        <f t="shared" si="54"/>
        <v>#DIV/0!</v>
      </c>
      <c r="AJ143" s="57"/>
      <c r="AK143" s="57"/>
      <c r="AL143" s="57"/>
      <c r="AM143" s="57"/>
      <c r="AN143" s="57" t="e">
        <f>SUM(AM121:AM142)</f>
        <v>#N/A</v>
      </c>
      <c r="AO143" s="57" t="e">
        <f>SUM(AO121:AO142)</f>
        <v>#N/A</v>
      </c>
      <c r="AP143" s="57" t="e">
        <f>SUM(AP121:AP142)</f>
        <v>#N/A</v>
      </c>
      <c r="AQ143" s="57" t="e">
        <f>SUM(AQ121:AQ142)</f>
        <v>#N/A</v>
      </c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</row>
    <row r="144" spans="1:72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</row>
    <row r="145" spans="1:70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</row>
    <row r="146" spans="1:70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</row>
    <row r="147" spans="1:70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</row>
    <row r="148" spans="1:70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</row>
    <row r="149" spans="1:70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16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</row>
    <row r="150" spans="1:70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</row>
    <row r="151" spans="1:70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</row>
    <row r="152" spans="1:70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</row>
    <row r="153" spans="1:70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</row>
    <row r="154" spans="1:70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</row>
    <row r="155" spans="1:70" x14ac:dyDescent="0.2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</row>
    <row r="156" spans="1:70" x14ac:dyDescent="0.2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</row>
    <row r="157" spans="1:70" x14ac:dyDescent="0.2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</row>
    <row r="158" spans="1:70" x14ac:dyDescent="0.2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</row>
    <row r="159" spans="1:70" x14ac:dyDescent="0.2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</row>
    <row r="160" spans="1:70" x14ac:dyDescent="0.2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</row>
    <row r="161" spans="1:70" x14ac:dyDescent="0.2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</row>
    <row r="162" spans="1:70" x14ac:dyDescent="0.2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</row>
    <row r="163" spans="1:70" x14ac:dyDescent="0.2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</row>
    <row r="164" spans="1:70" x14ac:dyDescent="0.2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</row>
    <row r="165" spans="1:70" x14ac:dyDescent="0.2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</row>
    <row r="166" spans="1:70" x14ac:dyDescent="0.2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</row>
    <row r="167" spans="1:70" x14ac:dyDescent="0.2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</row>
    <row r="168" spans="1:70" x14ac:dyDescent="0.2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</row>
    <row r="169" spans="1:70" x14ac:dyDescent="0.2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</row>
    <row r="170" spans="1:70" x14ac:dyDescent="0.2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</row>
    <row r="171" spans="1:70" x14ac:dyDescent="0.2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</row>
    <row r="172" spans="1:70" x14ac:dyDescent="0.2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</row>
    <row r="173" spans="1:70" x14ac:dyDescent="0.2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</row>
    <row r="174" spans="1:70" x14ac:dyDescent="0.2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</row>
    <row r="175" spans="1:70" x14ac:dyDescent="0.2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</row>
    <row r="176" spans="1:70" x14ac:dyDescent="0.2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</row>
    <row r="177" spans="1:70" x14ac:dyDescent="0.2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</row>
    <row r="178" spans="1:70" x14ac:dyDescent="0.2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</row>
    <row r="179" spans="1:70" x14ac:dyDescent="0.2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</row>
    <row r="180" spans="1:70" x14ac:dyDescent="0.2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</row>
    <row r="181" spans="1:70" x14ac:dyDescent="0.2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</row>
    <row r="182" spans="1:70" x14ac:dyDescent="0.2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</row>
    <row r="183" spans="1:70" x14ac:dyDescent="0.2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</row>
    <row r="184" spans="1:70" x14ac:dyDescent="0.2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</row>
    <row r="185" spans="1:70" x14ac:dyDescent="0.2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</row>
    <row r="186" spans="1:70" x14ac:dyDescent="0.2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</row>
    <row r="187" spans="1:70" x14ac:dyDescent="0.2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</row>
    <row r="188" spans="1:70" x14ac:dyDescent="0.2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</row>
    <row r="189" spans="1:70" x14ac:dyDescent="0.2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</row>
    <row r="190" spans="1:70" x14ac:dyDescent="0.2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</row>
    <row r="191" spans="1:70" x14ac:dyDescent="0.2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</row>
    <row r="192" spans="1:70" x14ac:dyDescent="0.2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</row>
    <row r="193" spans="1:70" x14ac:dyDescent="0.2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</row>
    <row r="194" spans="1:70" x14ac:dyDescent="0.2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</row>
    <row r="195" spans="1:70" x14ac:dyDescent="0.2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</row>
    <row r="196" spans="1:70" x14ac:dyDescent="0.2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</row>
    <row r="197" spans="1:70" x14ac:dyDescent="0.2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</row>
    <row r="198" spans="1:70" x14ac:dyDescent="0.2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</row>
    <row r="199" spans="1:70" x14ac:dyDescent="0.2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</row>
    <row r="200" spans="1:70" x14ac:dyDescent="0.2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</row>
    <row r="201" spans="1:70" x14ac:dyDescent="0.2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</row>
    <row r="202" spans="1:70" x14ac:dyDescent="0.2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</row>
    <row r="203" spans="1:70" x14ac:dyDescent="0.2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</row>
    <row r="204" spans="1:70" x14ac:dyDescent="0.2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</row>
    <row r="205" spans="1:70" x14ac:dyDescent="0.2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</row>
    <row r="206" spans="1:70" x14ac:dyDescent="0.2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</row>
    <row r="207" spans="1:70" x14ac:dyDescent="0.2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</row>
    <row r="208" spans="1:70" x14ac:dyDescent="0.2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</row>
    <row r="209" spans="1:70" x14ac:dyDescent="0.2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</row>
    <row r="210" spans="1:70" x14ac:dyDescent="0.2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</row>
    <row r="211" spans="1:70" x14ac:dyDescent="0.2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</row>
    <row r="212" spans="1:70" x14ac:dyDescent="0.2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</row>
    <row r="213" spans="1:70" x14ac:dyDescent="0.2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</row>
    <row r="214" spans="1:70" x14ac:dyDescent="0.2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</row>
    <row r="215" spans="1:70" x14ac:dyDescent="0.2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</row>
    <row r="216" spans="1:70" x14ac:dyDescent="0.2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</row>
    <row r="217" spans="1:70" x14ac:dyDescent="0.2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</row>
    <row r="218" spans="1:70" x14ac:dyDescent="0.2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</row>
    <row r="219" spans="1:70" x14ac:dyDescent="0.2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</row>
    <row r="220" spans="1:70" x14ac:dyDescent="0.2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</row>
    <row r="221" spans="1:70" x14ac:dyDescent="0.2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</row>
    <row r="222" spans="1:70" x14ac:dyDescent="0.2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</row>
    <row r="223" spans="1:70" x14ac:dyDescent="0.2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</row>
    <row r="224" spans="1:70" x14ac:dyDescent="0.2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</row>
    <row r="225" spans="1:70" x14ac:dyDescent="0.2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</row>
    <row r="226" spans="1:70" x14ac:dyDescent="0.2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</row>
    <row r="227" spans="1:70" x14ac:dyDescent="0.2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</row>
    <row r="228" spans="1:70" x14ac:dyDescent="0.2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</row>
    <row r="229" spans="1:70" x14ac:dyDescent="0.2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</row>
    <row r="230" spans="1:70" x14ac:dyDescent="0.2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</row>
    <row r="231" spans="1:70" x14ac:dyDescent="0.2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</row>
    <row r="232" spans="1:70" x14ac:dyDescent="0.2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</row>
    <row r="233" spans="1:70" x14ac:dyDescent="0.2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</row>
    <row r="234" spans="1:70" x14ac:dyDescent="0.2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</row>
    <row r="235" spans="1:70" x14ac:dyDescent="0.2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</row>
    <row r="236" spans="1:70" x14ac:dyDescent="0.2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</row>
    <row r="237" spans="1:70" x14ac:dyDescent="0.2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</row>
    <row r="238" spans="1:70" x14ac:dyDescent="0.2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</row>
    <row r="239" spans="1:70" x14ac:dyDescent="0.2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</row>
    <row r="240" spans="1:70" x14ac:dyDescent="0.2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</row>
    <row r="241" spans="1:70" x14ac:dyDescent="0.2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</row>
    <row r="242" spans="1:70" x14ac:dyDescent="0.2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</row>
    <row r="243" spans="1:70" x14ac:dyDescent="0.2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</row>
    <row r="244" spans="1:70" x14ac:dyDescent="0.2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</row>
    <row r="245" spans="1:70" x14ac:dyDescent="0.2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</row>
    <row r="246" spans="1:70" x14ac:dyDescent="0.2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</row>
    <row r="247" spans="1:70" x14ac:dyDescent="0.2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</row>
    <row r="248" spans="1:70" x14ac:dyDescent="0.2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</row>
    <row r="249" spans="1:70" x14ac:dyDescent="0.2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</row>
    <row r="250" spans="1:70" x14ac:dyDescent="0.2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</row>
    <row r="251" spans="1:70" x14ac:dyDescent="0.2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</row>
    <row r="252" spans="1:70" x14ac:dyDescent="0.2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</row>
    <row r="253" spans="1:70" x14ac:dyDescent="0.2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</row>
    <row r="254" spans="1:70" x14ac:dyDescent="0.2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</row>
    <row r="255" spans="1:70" x14ac:dyDescent="0.2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</row>
    <row r="256" spans="1:70" x14ac:dyDescent="0.2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</row>
    <row r="257" spans="1:70" x14ac:dyDescent="0.2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</row>
    <row r="258" spans="1:70" x14ac:dyDescent="0.2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</row>
    <row r="259" spans="1:70" x14ac:dyDescent="0.2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</row>
    <row r="260" spans="1:70" x14ac:dyDescent="0.2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</row>
    <row r="261" spans="1:70" x14ac:dyDescent="0.2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</row>
    <row r="262" spans="1:70" x14ac:dyDescent="0.2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</row>
    <row r="263" spans="1:70" x14ac:dyDescent="0.2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</row>
    <row r="264" spans="1:70" x14ac:dyDescent="0.2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</row>
    <row r="265" spans="1:70" x14ac:dyDescent="0.2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</row>
    <row r="266" spans="1:70" x14ac:dyDescent="0.2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</row>
    <row r="267" spans="1:70" x14ac:dyDescent="0.2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</row>
    <row r="268" spans="1:70" x14ac:dyDescent="0.2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</row>
    <row r="269" spans="1:70" x14ac:dyDescent="0.2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</row>
    <row r="270" spans="1:70" x14ac:dyDescent="0.2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</row>
    <row r="271" spans="1:70" x14ac:dyDescent="0.2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</row>
    <row r="272" spans="1:70" x14ac:dyDescent="0.2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</row>
    <row r="273" spans="1:70" x14ac:dyDescent="0.2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</row>
    <row r="274" spans="1:70" x14ac:dyDescent="0.2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</row>
    <row r="275" spans="1:70" x14ac:dyDescent="0.2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</row>
    <row r="276" spans="1:70" x14ac:dyDescent="0.2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  <c r="BO276" s="57"/>
      <c r="BP276" s="57"/>
      <c r="BQ276" s="57"/>
      <c r="BR276" s="57"/>
    </row>
    <row r="277" spans="1:70" x14ac:dyDescent="0.2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7"/>
      <c r="BQ277" s="57"/>
      <c r="BR277" s="57"/>
    </row>
    <row r="278" spans="1:70" x14ac:dyDescent="0.2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</row>
    <row r="279" spans="1:70" x14ac:dyDescent="0.2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</row>
    <row r="280" spans="1:70" x14ac:dyDescent="0.2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</row>
    <row r="281" spans="1:70" x14ac:dyDescent="0.2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</row>
    <row r="282" spans="1:70" x14ac:dyDescent="0.2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</row>
    <row r="283" spans="1:70" x14ac:dyDescent="0.2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</row>
    <row r="284" spans="1:70" x14ac:dyDescent="0.2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</row>
    <row r="285" spans="1:70" x14ac:dyDescent="0.2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</row>
    <row r="286" spans="1:70" x14ac:dyDescent="0.2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57"/>
      <c r="BR286" s="57"/>
    </row>
    <row r="287" spans="1:70" x14ac:dyDescent="0.2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</row>
    <row r="288" spans="1:70" x14ac:dyDescent="0.2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</row>
    <row r="289" spans="1:70" x14ac:dyDescent="0.2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</row>
    <row r="290" spans="1:70" x14ac:dyDescent="0.2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</row>
    <row r="291" spans="1:70" x14ac:dyDescent="0.2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</row>
    <row r="292" spans="1:70" x14ac:dyDescent="0.2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</row>
    <row r="293" spans="1:70" x14ac:dyDescent="0.2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  <c r="BO293" s="57"/>
      <c r="BP293" s="57"/>
      <c r="BQ293" s="57"/>
      <c r="BR293" s="57"/>
    </row>
    <row r="294" spans="1:70" x14ac:dyDescent="0.2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</row>
    <row r="295" spans="1:70" x14ac:dyDescent="0.2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</row>
    <row r="296" spans="1:70" x14ac:dyDescent="0.2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</row>
    <row r="297" spans="1:70" x14ac:dyDescent="0.2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</row>
    <row r="298" spans="1:70" x14ac:dyDescent="0.2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</row>
    <row r="299" spans="1:70" x14ac:dyDescent="0.2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</row>
    <row r="300" spans="1:70" x14ac:dyDescent="0.2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7"/>
      <c r="BP300" s="57"/>
      <c r="BQ300" s="57"/>
      <c r="BR300" s="57"/>
    </row>
    <row r="301" spans="1:70" x14ac:dyDescent="0.2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  <c r="BO301" s="57"/>
      <c r="BP301" s="57"/>
      <c r="BQ301" s="57"/>
      <c r="BR301" s="57"/>
    </row>
    <row r="302" spans="1:70" x14ac:dyDescent="0.25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</row>
    <row r="303" spans="1:70" x14ac:dyDescent="0.25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  <c r="BO303" s="57"/>
      <c r="BP303" s="57"/>
      <c r="BQ303" s="57"/>
      <c r="BR303" s="57"/>
    </row>
    <row r="304" spans="1:70" x14ac:dyDescent="0.25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</row>
    <row r="305" spans="1:70" x14ac:dyDescent="0.25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7"/>
      <c r="BP305" s="57"/>
      <c r="BQ305" s="57"/>
      <c r="BR305" s="57"/>
    </row>
    <row r="306" spans="1:70" x14ac:dyDescent="0.25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  <c r="BO306" s="57"/>
      <c r="BP306" s="57"/>
      <c r="BQ306" s="57"/>
      <c r="BR306" s="57"/>
    </row>
    <row r="307" spans="1:70" x14ac:dyDescent="0.25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  <c r="BO307" s="57"/>
      <c r="BP307" s="57"/>
      <c r="BQ307" s="57"/>
      <c r="BR307" s="57"/>
    </row>
    <row r="308" spans="1:70" x14ac:dyDescent="0.25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57"/>
      <c r="BM308" s="57"/>
      <c r="BN308" s="57"/>
      <c r="BO308" s="57"/>
      <c r="BP308" s="57"/>
      <c r="BQ308" s="57"/>
      <c r="BR308" s="57"/>
    </row>
    <row r="309" spans="1:70" x14ac:dyDescent="0.25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  <c r="BO309" s="57"/>
      <c r="BP309" s="57"/>
      <c r="BQ309" s="57"/>
      <c r="BR309" s="57"/>
    </row>
    <row r="310" spans="1:70" x14ac:dyDescent="0.25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7"/>
      <c r="BR310" s="57"/>
    </row>
    <row r="311" spans="1:70" x14ac:dyDescent="0.25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</row>
    <row r="312" spans="1:70" x14ac:dyDescent="0.25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</row>
    <row r="313" spans="1:70" x14ac:dyDescent="0.25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</row>
    <row r="314" spans="1:70" x14ac:dyDescent="0.25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</row>
    <row r="315" spans="1:70" x14ac:dyDescent="0.25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</row>
    <row r="316" spans="1:70" x14ac:dyDescent="0.25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</row>
    <row r="317" spans="1:70" x14ac:dyDescent="0.25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</row>
    <row r="318" spans="1:70" x14ac:dyDescent="0.25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</row>
    <row r="319" spans="1:70" x14ac:dyDescent="0.25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7"/>
      <c r="BQ319" s="57"/>
      <c r="BR319" s="57"/>
    </row>
    <row r="320" spans="1:70" x14ac:dyDescent="0.25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</row>
    <row r="321" spans="1:70" x14ac:dyDescent="0.25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</row>
    <row r="322" spans="1:70" x14ac:dyDescent="0.25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</row>
    <row r="323" spans="1:70" x14ac:dyDescent="0.25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</row>
    <row r="324" spans="1:70" x14ac:dyDescent="0.25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  <c r="BO324" s="57"/>
      <c r="BP324" s="57"/>
      <c r="BQ324" s="57"/>
      <c r="BR324" s="57"/>
    </row>
    <row r="325" spans="1:70" x14ac:dyDescent="0.25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7"/>
    </row>
    <row r="326" spans="1:70" x14ac:dyDescent="0.25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7"/>
      <c r="BQ326" s="57"/>
      <c r="BR326" s="57"/>
    </row>
    <row r="327" spans="1:70" x14ac:dyDescent="0.25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7"/>
      <c r="BQ327" s="57"/>
      <c r="BR327" s="57"/>
    </row>
    <row r="328" spans="1:70" x14ac:dyDescent="0.25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  <c r="BO328" s="57"/>
      <c r="BP328" s="57"/>
      <c r="BQ328" s="57"/>
      <c r="BR328" s="57"/>
    </row>
    <row r="329" spans="1:70" x14ac:dyDescent="0.25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  <c r="BO329" s="57"/>
      <c r="BP329" s="57"/>
      <c r="BQ329" s="57"/>
      <c r="BR329" s="57"/>
    </row>
    <row r="330" spans="1:70" x14ac:dyDescent="0.25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  <c r="BO330" s="57"/>
      <c r="BP330" s="57"/>
      <c r="BQ330" s="57"/>
      <c r="BR330" s="57"/>
    </row>
    <row r="331" spans="1:70" x14ac:dyDescent="0.25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  <c r="BO331" s="57"/>
      <c r="BP331" s="57"/>
      <c r="BQ331" s="57"/>
      <c r="BR331" s="57"/>
    </row>
    <row r="332" spans="1:70" x14ac:dyDescent="0.25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  <c r="BO332" s="57"/>
      <c r="BP332" s="57"/>
      <c r="BQ332" s="57"/>
      <c r="BR332" s="57"/>
    </row>
    <row r="333" spans="1:70" x14ac:dyDescent="0.25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  <c r="BO333" s="57"/>
      <c r="BP333" s="57"/>
      <c r="BQ333" s="57"/>
      <c r="BR333" s="57"/>
    </row>
    <row r="334" spans="1:70" x14ac:dyDescent="0.25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  <c r="BO334" s="57"/>
      <c r="BP334" s="57"/>
      <c r="BQ334" s="57"/>
      <c r="BR334" s="57"/>
    </row>
    <row r="335" spans="1:70" x14ac:dyDescent="0.25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</row>
    <row r="336" spans="1:70" x14ac:dyDescent="0.25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  <c r="BO336" s="57"/>
      <c r="BP336" s="57"/>
      <c r="BQ336" s="57"/>
      <c r="BR336" s="57"/>
    </row>
    <row r="337" spans="1:70" x14ac:dyDescent="0.25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7"/>
      <c r="BQ337" s="57"/>
      <c r="BR337" s="57"/>
    </row>
    <row r="338" spans="1:70" x14ac:dyDescent="0.25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  <c r="BE338" s="57"/>
      <c r="BF338" s="57"/>
      <c r="BG338" s="57"/>
      <c r="BH338" s="57"/>
      <c r="BI338" s="57"/>
      <c r="BJ338" s="57"/>
      <c r="BK338" s="57"/>
      <c r="BL338" s="57"/>
      <c r="BM338" s="57"/>
      <c r="BN338" s="57"/>
      <c r="BO338" s="57"/>
      <c r="BP338" s="57"/>
      <c r="BQ338" s="57"/>
      <c r="BR338" s="57"/>
    </row>
    <row r="339" spans="1:70" x14ac:dyDescent="0.25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  <c r="BO339" s="57"/>
      <c r="BP339" s="57"/>
      <c r="BQ339" s="57"/>
      <c r="BR339" s="57"/>
    </row>
    <row r="340" spans="1:70" x14ac:dyDescent="0.25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</row>
    <row r="341" spans="1:70" x14ac:dyDescent="0.25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</row>
    <row r="342" spans="1:70" x14ac:dyDescent="0.25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</row>
    <row r="343" spans="1:70" x14ac:dyDescent="0.25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</row>
    <row r="344" spans="1:70" x14ac:dyDescent="0.25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</row>
    <row r="345" spans="1:70" x14ac:dyDescent="0.25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</row>
    <row r="346" spans="1:70" x14ac:dyDescent="0.25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</row>
    <row r="347" spans="1:70" x14ac:dyDescent="0.25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</row>
    <row r="348" spans="1:70" x14ac:dyDescent="0.25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</row>
    <row r="349" spans="1:70" x14ac:dyDescent="0.25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</row>
    <row r="350" spans="1:70" x14ac:dyDescent="0.25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  <c r="BO350" s="57"/>
      <c r="BP350" s="57"/>
      <c r="BQ350" s="57"/>
      <c r="BR350" s="57"/>
    </row>
    <row r="351" spans="1:70" x14ac:dyDescent="0.25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</row>
    <row r="352" spans="1:70" x14ac:dyDescent="0.25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</row>
    <row r="353" spans="1:70" x14ac:dyDescent="0.25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</row>
    <row r="354" spans="1:70" x14ac:dyDescent="0.25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</row>
    <row r="355" spans="1:70" x14ac:dyDescent="0.25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</row>
    <row r="356" spans="1:70" x14ac:dyDescent="0.25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</row>
    <row r="357" spans="1:70" x14ac:dyDescent="0.25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</row>
    <row r="358" spans="1:70" x14ac:dyDescent="0.25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57"/>
      <c r="BD358" s="57"/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  <c r="BO358" s="57"/>
      <c r="BP358" s="57"/>
      <c r="BQ358" s="57"/>
      <c r="BR358" s="57"/>
    </row>
    <row r="359" spans="1:70" x14ac:dyDescent="0.25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7"/>
      <c r="BP359" s="57"/>
      <c r="BQ359" s="57"/>
      <c r="BR359" s="57"/>
    </row>
    <row r="360" spans="1:70" x14ac:dyDescent="0.25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57"/>
      <c r="BD360" s="57"/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  <c r="BO360" s="57"/>
      <c r="BP360" s="57"/>
      <c r="BQ360" s="57"/>
      <c r="BR360" s="57"/>
    </row>
    <row r="361" spans="1:70" x14ac:dyDescent="0.25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  <c r="BO361" s="57"/>
      <c r="BP361" s="57"/>
      <c r="BQ361" s="57"/>
      <c r="BR361" s="57"/>
    </row>
    <row r="362" spans="1:70" x14ac:dyDescent="0.25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</row>
    <row r="363" spans="1:70" x14ac:dyDescent="0.25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</row>
    <row r="364" spans="1:70" x14ac:dyDescent="0.25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</row>
    <row r="365" spans="1:70" x14ac:dyDescent="0.25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</row>
    <row r="366" spans="1:70" x14ac:dyDescent="0.25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</row>
    <row r="367" spans="1:70" x14ac:dyDescent="0.25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7"/>
      <c r="BQ367" s="57"/>
      <c r="BR367" s="57"/>
    </row>
    <row r="368" spans="1:70" x14ac:dyDescent="0.25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</row>
    <row r="369" spans="1:70" x14ac:dyDescent="0.25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  <c r="BO369" s="57"/>
      <c r="BP369" s="57"/>
      <c r="BQ369" s="57"/>
      <c r="BR369" s="57"/>
    </row>
    <row r="370" spans="1:70" x14ac:dyDescent="0.25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</row>
    <row r="371" spans="1:70" x14ac:dyDescent="0.25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7"/>
      <c r="BQ371" s="57"/>
      <c r="BR371" s="57"/>
    </row>
    <row r="372" spans="1:70" x14ac:dyDescent="0.25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</row>
    <row r="373" spans="1:70" x14ac:dyDescent="0.25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M373" s="57"/>
      <c r="N373" s="57"/>
      <c r="O373" s="57"/>
      <c r="P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</row>
  </sheetData>
  <sheetProtection selectLockedCells="1"/>
  <sortState ref="P58:P87">
    <sortCondition ref="P58"/>
  </sortState>
  <mergeCells count="3">
    <mergeCell ref="A1:P1"/>
    <mergeCell ref="AA119:AF119"/>
    <mergeCell ref="AG119:AO119"/>
  </mergeCells>
  <dataValidations xWindow="360" yWindow="210" count="16">
    <dataValidation type="list" errorStyle="warning" allowBlank="1" showInputMessage="1" showErrorMessage="1" prompt="Use drop down box to select from your team list once Team 1 in selected in cell B3_x000a_" sqref="B8:B19">
      <formula1>INDIRECT(B$3)</formula1>
    </dataValidation>
    <dataValidation type="list" allowBlank="1" showInputMessage="1" showErrorMessage="1" prompt="Bowlers names are available from the team list once the fielding team has been entered into cell B4" sqref="D26:D36">
      <formula1>INDIRECT(B$4)</formula1>
    </dataValidation>
    <dataValidation type="list" allowBlank="1" showInputMessage="1" showErrorMessage="1" prompt="Fielders are available from their club list once the fielding team is selected in cell B4" sqref="D8:D18">
      <formula1>INDIRECT(B$4)</formula1>
    </dataValidation>
    <dataValidation type="list" allowBlank="1" showInputMessage="1" showErrorMessage="1" prompt="Fielders are available from their club list once the fielding team is selected in cell B4" sqref="C34:C35">
      <formula1>INDIRECT(B$4)</formula1>
    </dataValidation>
    <dataValidation type="list" allowBlank="1" showInputMessage="1" showErrorMessage="1" prompt="select team winning toss from those entered in B3 and B4" sqref="H3">
      <formula1>$B$3:$B$4</formula1>
    </dataValidation>
    <dataValidation type="list" allowBlank="1" showInputMessage="1" showErrorMessage="1" prompt="The not out batsman still at the crease_x000a_" sqref="P8:P18">
      <formula1>$B$8:$B$18</formula1>
    </dataValidation>
    <dataValidation type="list" allowBlank="1" showInputMessage="1" showErrorMessage="1" prompt="bowlers must be entered in the bowling section before they are available here" sqref="E8:E18">
      <formula1>$D$26:$D$36</formula1>
    </dataValidation>
    <dataValidation type="list" allowBlank="1" showInputMessage="1" showErrorMessage="1" prompt="select team batting second" sqref="B4">
      <formula1>$A$40:$A$55</formula1>
    </dataValidation>
    <dataValidation type="list" allowBlank="1" showInputMessage="1" showErrorMessage="1" prompt="select the choice of the toss winner_x000a_" sqref="H4">
      <formula1>$B$40:$B$41</formula1>
    </dataValidation>
    <dataValidation type="list" allowBlank="1" showInputMessage="1" showErrorMessage="1" prompt="select game type from list_x000a_" sqref="B2">
      <formula1>$C$40:$C$42</formula1>
    </dataValidation>
    <dataValidation type="list" allowBlank="1" showInputMessage="1" showErrorMessage="1" prompt="select ground" sqref="B5">
      <formula1>$B$45:$B$50</formula1>
    </dataValidation>
    <dataValidation type="list" allowBlank="1" showInputMessage="1" showErrorMessage="1" prompt="Select method of dismissal from list_x000a_" sqref="C8:C18">
      <formula1>$C$45:$C$54</formula1>
    </dataValidation>
    <dataValidation type="list" allowBlank="1" showInputMessage="1" showErrorMessage="1" prompt="The dismissed batsman" sqref="O8:O18">
      <formula1>$B$8:$B$18</formula1>
    </dataValidation>
    <dataValidation allowBlank="1" showInputMessage="1" showErrorMessage="1" prompt="These cells automatically fill out when the runs and BF are filled in._x000a_" sqref="H8:H18"/>
    <dataValidation type="list" allowBlank="1" showInputMessage="1" showErrorMessage="1" prompt="select team batting first" sqref="B3">
      <formula1>$A$40:$A$55</formula1>
    </dataValidation>
    <dataValidation type="list" allowBlank="1" showInputMessage="1" showErrorMessage="1" sqref="F22">
      <formula1>$D$45:$D$48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73"/>
  <sheetViews>
    <sheetView topLeftCell="A58" zoomScale="75" zoomScaleNormal="75" workbookViewId="0">
      <selection activeCell="C98" sqref="C98"/>
    </sheetView>
  </sheetViews>
  <sheetFormatPr defaultRowHeight="15" x14ac:dyDescent="0.25"/>
  <cols>
    <col min="1" max="1" width="9.140625" style="19"/>
    <col min="2" max="2" width="27" style="19" customWidth="1"/>
    <col min="3" max="3" width="18.28515625" style="19" customWidth="1"/>
    <col min="4" max="4" width="21" style="19" customWidth="1"/>
    <col min="5" max="5" width="17.7109375" style="19" customWidth="1"/>
    <col min="6" max="6" width="4.42578125" style="19" customWidth="1"/>
    <col min="7" max="7" width="4.85546875" style="19" customWidth="1"/>
    <col min="8" max="8" width="8.28515625" style="19" customWidth="1"/>
    <col min="9" max="9" width="3.85546875" style="19" customWidth="1"/>
    <col min="10" max="10" width="4.85546875" style="19" customWidth="1"/>
    <col min="11" max="16384" width="9.140625" style="19"/>
  </cols>
  <sheetData>
    <row r="1" spans="1:17" ht="26.25" x14ac:dyDescent="0.4">
      <c r="A1" s="168" t="s">
        <v>107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7" x14ac:dyDescent="0.25">
      <c r="A2" s="19" t="s">
        <v>55</v>
      </c>
      <c r="B2" s="5"/>
      <c r="E2" s="19" t="s">
        <v>0</v>
      </c>
      <c r="F2" s="147"/>
      <c r="I2" s="20"/>
      <c r="K2" s="148" t="s">
        <v>65</v>
      </c>
      <c r="L2" s="6"/>
      <c r="M2" s="6"/>
      <c r="N2" s="6"/>
      <c r="O2" s="6"/>
      <c r="P2" s="7"/>
    </row>
    <row r="3" spans="1:17" x14ac:dyDescent="0.25">
      <c r="A3" s="19" t="s">
        <v>3</v>
      </c>
      <c r="B3" s="5"/>
      <c r="E3" s="19" t="s">
        <v>2</v>
      </c>
      <c r="F3" s="5"/>
      <c r="I3" s="20"/>
      <c r="K3" s="149"/>
      <c r="L3" s="8"/>
      <c r="M3" s="8"/>
      <c r="N3" s="8"/>
      <c r="O3" s="8"/>
      <c r="P3" s="9"/>
    </row>
    <row r="4" spans="1:17" x14ac:dyDescent="0.25">
      <c r="A4" s="19" t="s">
        <v>4</v>
      </c>
      <c r="B4" s="5"/>
      <c r="E4" s="19" t="s">
        <v>1</v>
      </c>
      <c r="F4" s="5"/>
      <c r="I4" s="20"/>
      <c r="K4" s="150"/>
      <c r="L4" s="10"/>
      <c r="M4" s="10"/>
      <c r="N4" s="10"/>
      <c r="O4" s="10"/>
      <c r="P4" s="11"/>
    </row>
    <row r="5" spans="1:17" x14ac:dyDescent="0.25">
      <c r="A5" s="19" t="s">
        <v>59</v>
      </c>
      <c r="B5" s="5"/>
    </row>
    <row r="6" spans="1:17" ht="15.75" thickBot="1" x14ac:dyDescent="0.3">
      <c r="A6" s="19" t="s">
        <v>34</v>
      </c>
      <c r="K6" s="19" t="s">
        <v>18</v>
      </c>
    </row>
    <row r="7" spans="1:17" x14ac:dyDescent="0.25">
      <c r="A7" s="21" t="s">
        <v>6</v>
      </c>
      <c r="B7" s="22" t="s">
        <v>7</v>
      </c>
      <c r="C7" s="22" t="s">
        <v>8</v>
      </c>
      <c r="D7" s="22" t="s">
        <v>66</v>
      </c>
      <c r="E7" s="22" t="s">
        <v>9</v>
      </c>
      <c r="F7" s="22" t="s">
        <v>10</v>
      </c>
      <c r="G7" s="22" t="s">
        <v>12</v>
      </c>
      <c r="H7" s="22" t="s">
        <v>28</v>
      </c>
      <c r="I7" s="22" t="s">
        <v>11</v>
      </c>
      <c r="J7" s="22" t="s">
        <v>13</v>
      </c>
      <c r="K7" s="154" t="s">
        <v>80</v>
      </c>
      <c r="M7" s="23" t="s">
        <v>20</v>
      </c>
      <c r="N7" s="24" t="s">
        <v>19</v>
      </c>
      <c r="O7" s="24" t="s">
        <v>73</v>
      </c>
      <c r="P7" s="25" t="s">
        <v>74</v>
      </c>
      <c r="Q7" s="108" t="s">
        <v>179</v>
      </c>
    </row>
    <row r="8" spans="1:17" x14ac:dyDescent="0.25">
      <c r="A8" s="26">
        <v>1</v>
      </c>
      <c r="B8" s="8"/>
      <c r="C8" s="8"/>
      <c r="D8" s="71"/>
      <c r="E8" s="71"/>
      <c r="F8" s="8"/>
      <c r="G8" s="8"/>
      <c r="H8" s="4" t="e">
        <f>100*F8/G8</f>
        <v>#DIV/0!</v>
      </c>
      <c r="I8" s="83"/>
      <c r="J8" s="8"/>
      <c r="K8" s="93"/>
      <c r="M8" s="27">
        <v>1</v>
      </c>
      <c r="N8" s="8"/>
      <c r="O8" s="8"/>
      <c r="P8" s="9"/>
      <c r="Q8" s="91">
        <f>N8</f>
        <v>0</v>
      </c>
    </row>
    <row r="9" spans="1:17" x14ac:dyDescent="0.25">
      <c r="A9" s="26">
        <v>2</v>
      </c>
      <c r="B9" s="8"/>
      <c r="C9" s="8"/>
      <c r="D9" s="71"/>
      <c r="E9" s="71"/>
      <c r="F9" s="8"/>
      <c r="G9" s="8"/>
      <c r="H9" s="4" t="e">
        <f t="shared" ref="H9:H18" si="0">100*F9/G9</f>
        <v>#DIV/0!</v>
      </c>
      <c r="I9" s="83"/>
      <c r="J9" s="8"/>
      <c r="K9" s="93"/>
      <c r="M9" s="27">
        <v>2</v>
      </c>
      <c r="N9" s="8"/>
      <c r="O9" s="8"/>
      <c r="P9" s="9"/>
      <c r="Q9" s="91">
        <f>N9-N8</f>
        <v>0</v>
      </c>
    </row>
    <row r="10" spans="1:17" x14ac:dyDescent="0.25">
      <c r="A10" s="26">
        <v>3</v>
      </c>
      <c r="B10" s="8"/>
      <c r="C10" s="8"/>
      <c r="D10" s="71"/>
      <c r="E10" s="71"/>
      <c r="F10" s="8"/>
      <c r="G10" s="8"/>
      <c r="H10" s="4" t="e">
        <f t="shared" si="0"/>
        <v>#DIV/0!</v>
      </c>
      <c r="I10" s="83"/>
      <c r="J10" s="8"/>
      <c r="K10" s="93"/>
      <c r="M10" s="27">
        <v>3</v>
      </c>
      <c r="N10" s="8"/>
      <c r="O10" s="8"/>
      <c r="P10" s="9"/>
      <c r="Q10" s="91">
        <f t="shared" ref="Q10:Q17" si="1">N10-N9</f>
        <v>0</v>
      </c>
    </row>
    <row r="11" spans="1:17" x14ac:dyDescent="0.25">
      <c r="A11" s="26">
        <v>4</v>
      </c>
      <c r="B11" s="8"/>
      <c r="C11" s="8"/>
      <c r="D11" s="71"/>
      <c r="E11" s="71"/>
      <c r="F11" s="8"/>
      <c r="G11" s="8"/>
      <c r="H11" s="4" t="e">
        <f t="shared" si="0"/>
        <v>#DIV/0!</v>
      </c>
      <c r="I11" s="83"/>
      <c r="J11" s="8"/>
      <c r="K11" s="93"/>
      <c r="M11" s="27">
        <v>4</v>
      </c>
      <c r="N11" s="8"/>
      <c r="O11" s="8"/>
      <c r="P11" s="9"/>
      <c r="Q11" s="91">
        <f t="shared" si="1"/>
        <v>0</v>
      </c>
    </row>
    <row r="12" spans="1:17" x14ac:dyDescent="0.25">
      <c r="A12" s="26">
        <v>5</v>
      </c>
      <c r="B12" s="8"/>
      <c r="C12" s="8"/>
      <c r="D12" s="71"/>
      <c r="E12" s="71"/>
      <c r="F12" s="8"/>
      <c r="G12" s="8"/>
      <c r="H12" s="4" t="e">
        <f t="shared" si="0"/>
        <v>#DIV/0!</v>
      </c>
      <c r="I12" s="83"/>
      <c r="J12" s="8"/>
      <c r="K12" s="93"/>
      <c r="M12" s="27">
        <v>5</v>
      </c>
      <c r="N12" s="8"/>
      <c r="O12" s="8"/>
      <c r="P12" s="9"/>
      <c r="Q12" s="91">
        <f t="shared" si="1"/>
        <v>0</v>
      </c>
    </row>
    <row r="13" spans="1:17" x14ac:dyDescent="0.25">
      <c r="A13" s="26">
        <v>6</v>
      </c>
      <c r="B13" s="8"/>
      <c r="C13" s="8"/>
      <c r="D13" s="71"/>
      <c r="E13" s="71"/>
      <c r="F13" s="8"/>
      <c r="G13" s="8"/>
      <c r="H13" s="4" t="e">
        <f t="shared" si="0"/>
        <v>#DIV/0!</v>
      </c>
      <c r="I13" s="83"/>
      <c r="J13" s="8"/>
      <c r="K13" s="93"/>
      <c r="M13" s="27">
        <v>6</v>
      </c>
      <c r="N13" s="8"/>
      <c r="O13" s="8"/>
      <c r="P13" s="9"/>
      <c r="Q13" s="91">
        <f t="shared" si="1"/>
        <v>0</v>
      </c>
    </row>
    <row r="14" spans="1:17" x14ac:dyDescent="0.25">
      <c r="A14" s="26">
        <v>7</v>
      </c>
      <c r="B14" s="8"/>
      <c r="C14" s="8"/>
      <c r="D14" s="71"/>
      <c r="E14" s="71"/>
      <c r="F14" s="8"/>
      <c r="G14" s="8"/>
      <c r="H14" s="4" t="e">
        <f t="shared" si="0"/>
        <v>#DIV/0!</v>
      </c>
      <c r="I14" s="83"/>
      <c r="J14" s="8"/>
      <c r="K14" s="93"/>
      <c r="M14" s="27">
        <v>7</v>
      </c>
      <c r="N14" s="8"/>
      <c r="O14" s="8"/>
      <c r="P14" s="9"/>
      <c r="Q14" s="91">
        <f t="shared" si="1"/>
        <v>0</v>
      </c>
    </row>
    <row r="15" spans="1:17" x14ac:dyDescent="0.25">
      <c r="A15" s="26">
        <v>8</v>
      </c>
      <c r="B15" s="8"/>
      <c r="C15" s="8"/>
      <c r="D15" s="71"/>
      <c r="E15" s="71"/>
      <c r="F15" s="8"/>
      <c r="G15" s="8"/>
      <c r="H15" s="4" t="e">
        <f t="shared" si="0"/>
        <v>#DIV/0!</v>
      </c>
      <c r="I15" s="83"/>
      <c r="J15" s="8"/>
      <c r="K15" s="93"/>
      <c r="M15" s="27">
        <v>8</v>
      </c>
      <c r="N15" s="8"/>
      <c r="O15" s="8"/>
      <c r="P15" s="9"/>
      <c r="Q15" s="91">
        <f t="shared" si="1"/>
        <v>0</v>
      </c>
    </row>
    <row r="16" spans="1:17" x14ac:dyDescent="0.25">
      <c r="A16" s="26">
        <v>9</v>
      </c>
      <c r="B16" s="8"/>
      <c r="C16" s="8"/>
      <c r="D16" s="71"/>
      <c r="E16" s="71"/>
      <c r="F16" s="8"/>
      <c r="G16" s="8"/>
      <c r="H16" s="4" t="e">
        <f t="shared" si="0"/>
        <v>#DIV/0!</v>
      </c>
      <c r="I16" s="83"/>
      <c r="J16" s="8"/>
      <c r="K16" s="93"/>
      <c r="M16" s="27">
        <v>9</v>
      </c>
      <c r="N16" s="8"/>
      <c r="O16" s="8"/>
      <c r="P16" s="9"/>
      <c r="Q16" s="91">
        <f t="shared" si="1"/>
        <v>0</v>
      </c>
    </row>
    <row r="17" spans="1:17" x14ac:dyDescent="0.25">
      <c r="A17" s="26">
        <v>10</v>
      </c>
      <c r="B17" s="8"/>
      <c r="C17" s="8"/>
      <c r="D17" s="71"/>
      <c r="E17" s="71"/>
      <c r="F17" s="8"/>
      <c r="G17" s="8"/>
      <c r="H17" s="4" t="e">
        <f t="shared" si="0"/>
        <v>#DIV/0!</v>
      </c>
      <c r="I17" s="83"/>
      <c r="J17" s="8"/>
      <c r="K17" s="93"/>
      <c r="M17" s="27">
        <v>10</v>
      </c>
      <c r="N17" s="8"/>
      <c r="O17" s="8"/>
      <c r="P17" s="9"/>
      <c r="Q17" s="91">
        <f t="shared" si="1"/>
        <v>0</v>
      </c>
    </row>
    <row r="18" spans="1:17" x14ac:dyDescent="0.25">
      <c r="A18" s="26">
        <v>11</v>
      </c>
      <c r="B18" s="8"/>
      <c r="C18" s="8"/>
      <c r="D18" s="71"/>
      <c r="E18" s="71"/>
      <c r="F18" s="8"/>
      <c r="G18" s="8"/>
      <c r="H18" s="4" t="e">
        <f t="shared" si="0"/>
        <v>#DIV/0!</v>
      </c>
      <c r="I18" s="83"/>
      <c r="J18" s="8"/>
      <c r="K18" s="93"/>
      <c r="M18" s="155" t="s">
        <v>185</v>
      </c>
      <c r="N18" s="132">
        <f>F20</f>
        <v>0</v>
      </c>
      <c r="O18" s="13"/>
      <c r="P18" s="13"/>
      <c r="Q18" s="91">
        <f>N18-MAX(N8:N17)</f>
        <v>0</v>
      </c>
    </row>
    <row r="19" spans="1:17" ht="15.75" thickBot="1" x14ac:dyDescent="0.3">
      <c r="A19" s="29" t="s">
        <v>88</v>
      </c>
      <c r="B19" s="151"/>
      <c r="C19" s="30"/>
      <c r="D19" s="30"/>
      <c r="E19" s="31" t="s">
        <v>78</v>
      </c>
      <c r="F19" s="30">
        <f>SUM(D20:D23)</f>
        <v>0</v>
      </c>
      <c r="G19" s="30"/>
      <c r="H19" s="30"/>
      <c r="I19" s="30"/>
      <c r="J19" s="30"/>
      <c r="K19" s="32"/>
      <c r="Q19" s="91"/>
    </row>
    <row r="20" spans="1:17" ht="15.75" thickBot="1" x14ac:dyDescent="0.3">
      <c r="A20" s="33" t="s">
        <v>14</v>
      </c>
      <c r="B20" s="30"/>
      <c r="C20" s="30"/>
      <c r="D20" s="13"/>
      <c r="E20" s="34" t="s">
        <v>77</v>
      </c>
      <c r="F20" s="35">
        <f>SUM(F8:F19)</f>
        <v>0</v>
      </c>
      <c r="G20" s="36" t="s">
        <v>75</v>
      </c>
      <c r="H20" s="37">
        <f>COUNTA(C8:C18)-COUNTIF(C8:C18,"Not Out")</f>
        <v>0</v>
      </c>
      <c r="I20" s="38" t="s">
        <v>76</v>
      </c>
      <c r="J20" s="39"/>
      <c r="K20" s="32"/>
      <c r="M20" s="23" t="s">
        <v>35</v>
      </c>
      <c r="N20" s="6"/>
      <c r="O20" s="6"/>
      <c r="P20" s="7"/>
    </row>
    <row r="21" spans="1:17" ht="15.75" thickBot="1" x14ac:dyDescent="0.3">
      <c r="A21" s="33" t="s">
        <v>15</v>
      </c>
      <c r="B21" s="30"/>
      <c r="C21" s="30"/>
      <c r="D21" s="13"/>
      <c r="E21" s="40"/>
      <c r="F21" s="30"/>
      <c r="G21" s="30"/>
      <c r="H21" s="30"/>
      <c r="I21" s="30"/>
      <c r="J21" s="30"/>
      <c r="K21" s="32"/>
      <c r="M21" s="28" t="s">
        <v>36</v>
      </c>
      <c r="N21" s="10"/>
      <c r="O21" s="10"/>
      <c r="P21" s="11"/>
    </row>
    <row r="22" spans="1:17" ht="15.75" thickBot="1" x14ac:dyDescent="0.3">
      <c r="A22" s="33" t="s">
        <v>16</v>
      </c>
      <c r="B22" s="30"/>
      <c r="C22" s="30"/>
      <c r="D22" s="13"/>
      <c r="E22" s="31" t="s">
        <v>208</v>
      </c>
      <c r="F22" s="131"/>
      <c r="G22" s="30"/>
      <c r="H22" s="30"/>
      <c r="I22" s="30"/>
      <c r="J22" s="30"/>
      <c r="K22" s="32"/>
    </row>
    <row r="23" spans="1:17" ht="15.75" thickBot="1" x14ac:dyDescent="0.3">
      <c r="A23" s="41" t="s">
        <v>17</v>
      </c>
      <c r="B23" s="42"/>
      <c r="C23" s="42"/>
      <c r="D23" s="14"/>
      <c r="E23" s="42"/>
      <c r="F23" s="42"/>
      <c r="G23" s="42"/>
      <c r="H23" s="42"/>
      <c r="I23" s="42"/>
      <c r="J23" s="42"/>
      <c r="K23" s="43"/>
      <c r="M23" s="44" t="s">
        <v>50</v>
      </c>
      <c r="N23" s="45"/>
      <c r="O23" s="45"/>
      <c r="P23" s="46" t="str">
        <f>IF(F20-D22-D23-G37=0,"PASS","FAIL")</f>
        <v>PASS</v>
      </c>
    </row>
    <row r="24" spans="1:17" ht="15.75" thickBot="1" x14ac:dyDescent="0.3"/>
    <row r="25" spans="1:17" x14ac:dyDescent="0.25">
      <c r="D25" s="21" t="s">
        <v>82</v>
      </c>
      <c r="E25" s="47" t="s">
        <v>22</v>
      </c>
      <c r="F25" s="48" t="s">
        <v>23</v>
      </c>
      <c r="G25" s="48" t="s">
        <v>24</v>
      </c>
      <c r="H25" s="48" t="s">
        <v>25</v>
      </c>
      <c r="I25" s="48" t="s">
        <v>26</v>
      </c>
      <c r="J25" s="49" t="s">
        <v>27</v>
      </c>
      <c r="K25" s="22" t="s">
        <v>29</v>
      </c>
      <c r="L25" s="50" t="s">
        <v>30</v>
      </c>
      <c r="M25" s="156" t="s">
        <v>80</v>
      </c>
      <c r="N25" s="156" t="s">
        <v>184</v>
      </c>
      <c r="O25" s="157"/>
    </row>
    <row r="26" spans="1:17" x14ac:dyDescent="0.25">
      <c r="B26" s="51" t="s">
        <v>31</v>
      </c>
      <c r="D26" s="73"/>
      <c r="E26" s="74"/>
      <c r="F26" s="75"/>
      <c r="G26" s="75"/>
      <c r="H26" s="75"/>
      <c r="I26" s="76"/>
      <c r="J26" s="77"/>
      <c r="K26" s="30" t="e">
        <f>G26/H26</f>
        <v>#DIV/0!</v>
      </c>
      <c r="L26" s="32" t="e">
        <f>G26/E26</f>
        <v>#DIV/0!</v>
      </c>
      <c r="M26" s="152"/>
      <c r="N26" s="152"/>
      <c r="O26" s="158"/>
    </row>
    <row r="27" spans="1:17" x14ac:dyDescent="0.25">
      <c r="B27" s="15"/>
      <c r="D27" s="73"/>
      <c r="E27" s="74"/>
      <c r="F27" s="75"/>
      <c r="G27" s="75"/>
      <c r="H27" s="75"/>
      <c r="I27" s="76"/>
      <c r="J27" s="77"/>
      <c r="K27" s="30" t="e">
        <f t="shared" ref="K27:K36" si="2">G27/H27</f>
        <v>#DIV/0!</v>
      </c>
      <c r="L27" s="32" t="e">
        <f t="shared" ref="L27:L36" si="3">G27/E27</f>
        <v>#DIV/0!</v>
      </c>
      <c r="M27" s="152"/>
      <c r="N27" s="152"/>
      <c r="O27" s="158"/>
    </row>
    <row r="28" spans="1:17" x14ac:dyDescent="0.25">
      <c r="B28" s="16"/>
      <c r="D28" s="73"/>
      <c r="E28" s="74"/>
      <c r="F28" s="75"/>
      <c r="G28" s="75"/>
      <c r="H28" s="75"/>
      <c r="I28" s="76"/>
      <c r="J28" s="77"/>
      <c r="K28" s="30" t="e">
        <f t="shared" si="2"/>
        <v>#DIV/0!</v>
      </c>
      <c r="L28" s="32" t="e">
        <f t="shared" si="3"/>
        <v>#DIV/0!</v>
      </c>
      <c r="M28" s="152"/>
      <c r="N28" s="152"/>
      <c r="O28" s="158"/>
    </row>
    <row r="29" spans="1:17" x14ac:dyDescent="0.25">
      <c r="D29" s="73"/>
      <c r="E29" s="74"/>
      <c r="F29" s="75"/>
      <c r="G29" s="75"/>
      <c r="H29" s="75"/>
      <c r="I29" s="76"/>
      <c r="J29" s="77"/>
      <c r="K29" s="30" t="e">
        <f t="shared" si="2"/>
        <v>#DIV/0!</v>
      </c>
      <c r="L29" s="32" t="e">
        <f t="shared" si="3"/>
        <v>#DIV/0!</v>
      </c>
      <c r="M29" s="152"/>
      <c r="N29" s="152"/>
      <c r="O29" s="158"/>
    </row>
    <row r="30" spans="1:17" x14ac:dyDescent="0.25">
      <c r="B30" s="51" t="s">
        <v>32</v>
      </c>
      <c r="D30" s="73"/>
      <c r="E30" s="74"/>
      <c r="F30" s="75"/>
      <c r="G30" s="75"/>
      <c r="H30" s="75"/>
      <c r="I30" s="76"/>
      <c r="J30" s="77"/>
      <c r="K30" s="30" t="e">
        <f t="shared" si="2"/>
        <v>#DIV/0!</v>
      </c>
      <c r="L30" s="32" t="e">
        <f t="shared" si="3"/>
        <v>#DIV/0!</v>
      </c>
      <c r="M30" s="152"/>
      <c r="N30" s="152"/>
      <c r="O30" s="158"/>
    </row>
    <row r="31" spans="1:17" x14ac:dyDescent="0.25">
      <c r="B31" s="15"/>
      <c r="D31" s="73"/>
      <c r="E31" s="74"/>
      <c r="F31" s="75"/>
      <c r="G31" s="75"/>
      <c r="H31" s="75"/>
      <c r="I31" s="76"/>
      <c r="J31" s="77"/>
      <c r="K31" s="30" t="e">
        <f t="shared" si="2"/>
        <v>#DIV/0!</v>
      </c>
      <c r="L31" s="32" t="e">
        <f t="shared" si="3"/>
        <v>#DIV/0!</v>
      </c>
      <c r="M31" s="152"/>
      <c r="N31" s="152"/>
      <c r="O31" s="158"/>
    </row>
    <row r="32" spans="1:17" x14ac:dyDescent="0.25">
      <c r="B32" s="16"/>
      <c r="D32" s="73"/>
      <c r="E32" s="74"/>
      <c r="F32" s="75"/>
      <c r="G32" s="75"/>
      <c r="H32" s="75"/>
      <c r="I32" s="76"/>
      <c r="J32" s="77"/>
      <c r="K32" s="30" t="e">
        <f t="shared" si="2"/>
        <v>#DIV/0!</v>
      </c>
      <c r="L32" s="32" t="e">
        <f t="shared" si="3"/>
        <v>#DIV/0!</v>
      </c>
      <c r="M32" s="152"/>
      <c r="N32" s="152"/>
      <c r="O32" s="158"/>
    </row>
    <row r="33" spans="1:15" x14ac:dyDescent="0.25">
      <c r="D33" s="73"/>
      <c r="E33" s="74"/>
      <c r="F33" s="75"/>
      <c r="G33" s="75"/>
      <c r="H33" s="75"/>
      <c r="I33" s="76"/>
      <c r="J33" s="77"/>
      <c r="K33" s="30" t="e">
        <f t="shared" si="2"/>
        <v>#DIV/0!</v>
      </c>
      <c r="L33" s="32" t="e">
        <f t="shared" si="3"/>
        <v>#DIV/0!</v>
      </c>
      <c r="M33" s="152"/>
      <c r="N33" s="152"/>
      <c r="O33" s="158"/>
    </row>
    <row r="34" spans="1:15" x14ac:dyDescent="0.25">
      <c r="B34" s="23" t="s">
        <v>33</v>
      </c>
      <c r="C34" s="70"/>
      <c r="D34" s="73"/>
      <c r="E34" s="74"/>
      <c r="F34" s="75"/>
      <c r="G34" s="75"/>
      <c r="H34" s="75"/>
      <c r="I34" s="76"/>
      <c r="J34" s="77"/>
      <c r="K34" s="30" t="e">
        <f t="shared" si="2"/>
        <v>#DIV/0!</v>
      </c>
      <c r="L34" s="32" t="e">
        <f t="shared" si="3"/>
        <v>#DIV/0!</v>
      </c>
      <c r="M34" s="152"/>
      <c r="N34" s="152"/>
      <c r="O34" s="158"/>
    </row>
    <row r="35" spans="1:15" x14ac:dyDescent="0.25">
      <c r="B35" s="28" t="s">
        <v>81</v>
      </c>
      <c r="C35" s="72"/>
      <c r="D35" s="73"/>
      <c r="E35" s="74"/>
      <c r="F35" s="75"/>
      <c r="G35" s="75"/>
      <c r="H35" s="75"/>
      <c r="I35" s="76"/>
      <c r="J35" s="77"/>
      <c r="K35" s="30" t="e">
        <f t="shared" si="2"/>
        <v>#DIV/0!</v>
      </c>
      <c r="L35" s="32" t="e">
        <f t="shared" si="3"/>
        <v>#DIV/0!</v>
      </c>
      <c r="M35" s="152"/>
      <c r="N35" s="152"/>
      <c r="O35" s="158"/>
    </row>
    <row r="36" spans="1:15" ht="15.75" thickBot="1" x14ac:dyDescent="0.3">
      <c r="D36" s="78"/>
      <c r="E36" s="79"/>
      <c r="F36" s="80"/>
      <c r="G36" s="80"/>
      <c r="H36" s="80"/>
      <c r="I36" s="81"/>
      <c r="J36" s="82"/>
      <c r="K36" s="42" t="e">
        <f t="shared" si="2"/>
        <v>#DIV/0!</v>
      </c>
      <c r="L36" s="43" t="e">
        <f t="shared" si="3"/>
        <v>#DIV/0!</v>
      </c>
      <c r="M36" s="153"/>
      <c r="N36" s="153"/>
      <c r="O36" s="159"/>
    </row>
    <row r="37" spans="1:15" x14ac:dyDescent="0.25">
      <c r="D37" s="19" t="s">
        <v>49</v>
      </c>
      <c r="E37" s="19">
        <f t="shared" ref="E37:J37" si="4">SUM(E26:E36)</f>
        <v>0</v>
      </c>
      <c r="F37" s="86">
        <f t="shared" si="4"/>
        <v>0</v>
      </c>
      <c r="G37" s="86">
        <f t="shared" si="4"/>
        <v>0</v>
      </c>
      <c r="H37" s="86">
        <f t="shared" si="4"/>
        <v>0</v>
      </c>
      <c r="I37" s="52">
        <f t="shared" si="4"/>
        <v>0</v>
      </c>
      <c r="J37" s="53">
        <f t="shared" si="4"/>
        <v>0</v>
      </c>
    </row>
    <row r="38" spans="1:15" ht="204" customHeight="1" x14ac:dyDescent="0.25"/>
    <row r="39" spans="1:15" x14ac:dyDescent="0.25">
      <c r="A39" s="54" t="s">
        <v>37</v>
      </c>
      <c r="B39" s="54" t="s">
        <v>1</v>
      </c>
      <c r="C39" s="54" t="s">
        <v>55</v>
      </c>
    </row>
    <row r="40" spans="1:15" x14ac:dyDescent="0.25">
      <c r="A40" s="55" t="s">
        <v>38</v>
      </c>
      <c r="B40" s="55" t="s">
        <v>54</v>
      </c>
      <c r="C40" s="55" t="s">
        <v>56</v>
      </c>
    </row>
    <row r="41" spans="1:15" x14ac:dyDescent="0.25">
      <c r="A41" s="54" t="s">
        <v>39</v>
      </c>
      <c r="B41" s="54" t="s">
        <v>51</v>
      </c>
      <c r="C41" s="54" t="s">
        <v>57</v>
      </c>
    </row>
    <row r="42" spans="1:15" x14ac:dyDescent="0.25">
      <c r="A42" s="54" t="s">
        <v>40</v>
      </c>
      <c r="B42" s="54"/>
      <c r="C42" s="54" t="s">
        <v>58</v>
      </c>
    </row>
    <row r="43" spans="1:15" x14ac:dyDescent="0.25">
      <c r="A43" s="54" t="s">
        <v>41</v>
      </c>
      <c r="B43" s="54"/>
      <c r="C43" s="54"/>
    </row>
    <row r="44" spans="1:15" x14ac:dyDescent="0.25">
      <c r="A44" s="54" t="s">
        <v>42</v>
      </c>
      <c r="B44" s="54" t="s">
        <v>59</v>
      </c>
      <c r="C44" s="54" t="s">
        <v>8</v>
      </c>
      <c r="D44" s="54" t="s">
        <v>208</v>
      </c>
    </row>
    <row r="45" spans="1:15" x14ac:dyDescent="0.25">
      <c r="A45" s="54" t="s">
        <v>43</v>
      </c>
      <c r="B45" s="55" t="s">
        <v>60</v>
      </c>
      <c r="C45" s="55" t="s">
        <v>52</v>
      </c>
      <c r="D45" s="58" t="s">
        <v>25</v>
      </c>
    </row>
    <row r="46" spans="1:15" x14ac:dyDescent="0.25">
      <c r="A46" s="54" t="s">
        <v>83</v>
      </c>
      <c r="B46" s="54" t="s">
        <v>44</v>
      </c>
      <c r="C46" s="54" t="s">
        <v>486</v>
      </c>
      <c r="D46" s="54" t="s">
        <v>207</v>
      </c>
    </row>
    <row r="47" spans="1:15" x14ac:dyDescent="0.25">
      <c r="A47" s="54" t="s">
        <v>44</v>
      </c>
      <c r="B47" s="54" t="s">
        <v>61</v>
      </c>
      <c r="C47" s="54" t="s">
        <v>67</v>
      </c>
      <c r="D47" s="54" t="s">
        <v>209</v>
      </c>
    </row>
    <row r="48" spans="1:15" x14ac:dyDescent="0.25">
      <c r="A48" s="54" t="s">
        <v>276</v>
      </c>
      <c r="B48" s="54" t="s">
        <v>62</v>
      </c>
      <c r="C48" s="54" t="s">
        <v>68</v>
      </c>
      <c r="D48" s="54" t="s">
        <v>210</v>
      </c>
    </row>
    <row r="49" spans="1:69" x14ac:dyDescent="0.25">
      <c r="A49" s="54" t="s">
        <v>45</v>
      </c>
      <c r="B49" s="54" t="s">
        <v>63</v>
      </c>
      <c r="C49" s="54" t="s">
        <v>53</v>
      </c>
    </row>
    <row r="50" spans="1:69" x14ac:dyDescent="0.25">
      <c r="A50" s="54" t="s">
        <v>85</v>
      </c>
      <c r="B50" s="54" t="s">
        <v>64</v>
      </c>
      <c r="C50" s="54" t="s">
        <v>69</v>
      </c>
    </row>
    <row r="51" spans="1:69" x14ac:dyDescent="0.25">
      <c r="A51" s="54" t="s">
        <v>213</v>
      </c>
      <c r="B51" s="54"/>
      <c r="C51" s="54" t="s">
        <v>70</v>
      </c>
    </row>
    <row r="52" spans="1:69" x14ac:dyDescent="0.25">
      <c r="A52" s="54" t="s">
        <v>87</v>
      </c>
      <c r="B52" s="54"/>
      <c r="C52" s="54" t="s">
        <v>71</v>
      </c>
    </row>
    <row r="53" spans="1:69" x14ac:dyDescent="0.25">
      <c r="A53" s="54" t="s">
        <v>46</v>
      </c>
      <c r="B53" s="54"/>
      <c r="C53" s="54" t="s">
        <v>72</v>
      </c>
    </row>
    <row r="54" spans="1:69" x14ac:dyDescent="0.25">
      <c r="A54" s="54" t="s">
        <v>47</v>
      </c>
      <c r="B54" s="54"/>
      <c r="C54" s="54" t="s">
        <v>21</v>
      </c>
    </row>
    <row r="55" spans="1:69" x14ac:dyDescent="0.25">
      <c r="A55" s="54" t="s">
        <v>48</v>
      </c>
      <c r="B55" s="54"/>
      <c r="C55" s="54"/>
    </row>
    <row r="57" spans="1:69" x14ac:dyDescent="0.25">
      <c r="A57" s="54" t="s">
        <v>38</v>
      </c>
      <c r="B57" s="54" t="s">
        <v>39</v>
      </c>
      <c r="C57" s="54" t="s">
        <v>40</v>
      </c>
      <c r="D57" s="54" t="s">
        <v>41</v>
      </c>
      <c r="E57" s="54" t="s">
        <v>42</v>
      </c>
      <c r="F57" s="54" t="s">
        <v>43</v>
      </c>
      <c r="G57" s="54" t="s">
        <v>83</v>
      </c>
      <c r="H57" s="54" t="s">
        <v>44</v>
      </c>
      <c r="I57" s="54" t="s">
        <v>276</v>
      </c>
      <c r="J57" s="54" t="s">
        <v>45</v>
      </c>
      <c r="K57" s="54" t="s">
        <v>85</v>
      </c>
      <c r="L57" s="54" t="s">
        <v>213</v>
      </c>
      <c r="M57" s="54" t="s">
        <v>87</v>
      </c>
      <c r="N57" s="54" t="s">
        <v>46</v>
      </c>
      <c r="O57" s="54" t="s">
        <v>47</v>
      </c>
      <c r="P57" s="54" t="s">
        <v>48</v>
      </c>
    </row>
    <row r="58" spans="1:69" x14ac:dyDescent="0.25">
      <c r="A58" s="17" t="str">
        <f>'1st Innings'!A58</f>
        <v>AMAN SINGH</v>
      </c>
      <c r="B58" s="17" t="str">
        <f>'1st Innings'!B58</f>
        <v>ANAND SRINIVASAN</v>
      </c>
      <c r="C58" s="17" t="str">
        <f>'1st Innings'!C58</f>
        <v>Akarsh Srivasthva</v>
      </c>
      <c r="D58" s="17" t="str">
        <f>'1st Innings'!D58</f>
        <v>Andrew Barnes</v>
      </c>
      <c r="E58" s="17" t="str">
        <f>'1st Innings'!E58</f>
        <v>Abhijit Kunte</v>
      </c>
      <c r="F58" s="17" t="str">
        <f>'1st Innings'!F58</f>
        <v>Amit Bhat</v>
      </c>
      <c r="G58" s="17" t="str">
        <f>'1st Innings'!G58</f>
        <v>Arun Rajain</v>
      </c>
      <c r="H58" s="17" t="str">
        <f>'1st Innings'!H58</f>
        <v>Adarsh srikanth</v>
      </c>
      <c r="I58" s="17" t="str">
        <f>'1st Innings'!I58</f>
        <v>Ahmad Ramdhoni</v>
      </c>
      <c r="J58" s="17" t="str">
        <f>'1st Innings'!J58</f>
        <v>Adithyan Asokan</v>
      </c>
      <c r="K58" s="17" t="str">
        <f>'1st Innings'!K58</f>
        <v>Alistair Mann</v>
      </c>
      <c r="L58" s="17" t="str">
        <f>'1st Innings'!L58</f>
        <v>Aditya Gustama</v>
      </c>
      <c r="M58" s="17" t="str">
        <f>'1st Innings'!M58</f>
        <v>Abdul Rahman Ganesa Raja</v>
      </c>
      <c r="N58" s="17" t="str">
        <f>'1st Innings'!N58</f>
        <v>Ajay Jaswal</v>
      </c>
      <c r="O58" s="17" t="str">
        <f>'1st Innings'!O58</f>
        <v xml:space="preserve">Anil Gawda </v>
      </c>
      <c r="P58" s="17" t="str">
        <f>'1st Innings'!P58</f>
        <v>Abhay Bhalerao</v>
      </c>
      <c r="Q58" s="54"/>
      <c r="S58" s="3"/>
      <c r="T58" s="3"/>
      <c r="U58" s="56"/>
      <c r="V58" s="56"/>
      <c r="W58" s="56"/>
      <c r="X58" s="56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</row>
    <row r="59" spans="1:69" x14ac:dyDescent="0.25">
      <c r="A59" s="17" t="str">
        <f>'1st Innings'!A59</f>
        <v>AMBUJ DUBEY</v>
      </c>
      <c r="B59" s="17" t="str">
        <f>'1st Innings'!B59</f>
        <v>ANIL KAUL</v>
      </c>
      <c r="C59" s="17" t="str">
        <f>'1st Innings'!C59</f>
        <v>Anjaneyulu Katta</v>
      </c>
      <c r="D59" s="17" t="str">
        <f>'1st Innings'!D59</f>
        <v>Andrew Sandi Setiawan</v>
      </c>
      <c r="E59" s="17" t="str">
        <f>'1st Innings'!E59</f>
        <v>Abhishek Sinha</v>
      </c>
      <c r="F59" s="17" t="str">
        <f>'1st Innings'!F59</f>
        <v>Aqsam Omar</v>
      </c>
      <c r="G59" s="17" t="str">
        <f>'1st Innings'!G59</f>
        <v>Bhuvan Manjunathan</v>
      </c>
      <c r="H59" s="17" t="str">
        <f>'1st Innings'!H59</f>
        <v>Ajeet Bhatt</v>
      </c>
      <c r="I59" s="17" t="str">
        <f>'1st Innings'!I59</f>
        <v>Aijaz Matoo</v>
      </c>
      <c r="J59" s="17" t="str">
        <f>'1st Innings'!J59</f>
        <v>Chacko Smejo</v>
      </c>
      <c r="K59" s="17" t="str">
        <f>'1st Innings'!K59</f>
        <v>Brenton Harris</v>
      </c>
      <c r="L59" s="17" t="str">
        <f>'1st Innings'!L59</f>
        <v>Agi Septyasa</v>
      </c>
      <c r="M59" s="17" t="str">
        <f>'1st Innings'!M59</f>
        <v>Ajay Mishra</v>
      </c>
      <c r="N59" s="17" t="str">
        <f>'1st Innings'!N59</f>
        <v>Ajit Prabhu</v>
      </c>
      <c r="O59" s="17" t="str">
        <f>'1st Innings'!O59</f>
        <v>Ankit Gupta</v>
      </c>
      <c r="P59" s="17" t="str">
        <f>'1st Innings'!P59</f>
        <v>Amit Lalaji</v>
      </c>
      <c r="Q59" s="54"/>
      <c r="S59" s="3"/>
      <c r="T59" s="3"/>
      <c r="U59" s="56"/>
      <c r="V59" s="3"/>
      <c r="W59" s="56"/>
      <c r="X59" s="56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</row>
    <row r="60" spans="1:69" x14ac:dyDescent="0.25">
      <c r="A60" s="17" t="str">
        <f>'1st Innings'!A60</f>
        <v>AMBUJ SINGH</v>
      </c>
      <c r="B60" s="17" t="str">
        <f>'1st Innings'!B60</f>
        <v>ANIL PRABHAKAR</v>
      </c>
      <c r="C60" s="17" t="str">
        <f>'1st Innings'!C60</f>
        <v>Avi Bakuni</v>
      </c>
      <c r="D60" s="17" t="str">
        <f>'1st Innings'!D60</f>
        <v>Ben Burgess</v>
      </c>
      <c r="E60" s="17" t="str">
        <f>'1st Innings'!E60</f>
        <v>Arjun Chauhan</v>
      </c>
      <c r="F60" s="17" t="str">
        <f>'1st Innings'!F60</f>
        <v>Atul Kakkar</v>
      </c>
      <c r="G60" s="17" t="str">
        <f>'1st Innings'!G60</f>
        <v>Bunty Nagpal</v>
      </c>
      <c r="H60" s="17" t="str">
        <f>'1st Innings'!H60</f>
        <v>Ashutosh Mishra</v>
      </c>
      <c r="I60" s="17" t="str">
        <f>'1st Innings'!I60</f>
        <v>Amar Kapadia</v>
      </c>
      <c r="J60" s="17" t="str">
        <f>'1st Innings'!J60</f>
        <v>Chandroo R Rajalingam</v>
      </c>
      <c r="K60" s="17" t="str">
        <f>'1st Innings'!K60</f>
        <v xml:space="preserve">Brock Fisher </v>
      </c>
      <c r="L60" s="17" t="str">
        <f>'1st Innings'!L60</f>
        <v>Alfaris</v>
      </c>
      <c r="M60" s="17" t="str">
        <f>'1st Innings'!M60</f>
        <v>Anandalwar Santhanam</v>
      </c>
      <c r="N60" s="17" t="str">
        <f>'1st Innings'!N60</f>
        <v>Anuj Banerjee</v>
      </c>
      <c r="O60" s="17" t="str">
        <f>'1st Innings'!O60</f>
        <v xml:space="preserve">Dipak Grover </v>
      </c>
      <c r="P60" s="17" t="str">
        <f>'1st Innings'!P60</f>
        <v>Ansar Subramanian Mohammed Hameed</v>
      </c>
      <c r="Q60" s="54"/>
      <c r="S60" s="3"/>
      <c r="T60" s="3"/>
      <c r="U60" s="56"/>
      <c r="V60" s="56"/>
      <c r="W60" s="56"/>
      <c r="X60" s="56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</row>
    <row r="61" spans="1:69" x14ac:dyDescent="0.25">
      <c r="A61" s="17" t="str">
        <f>'1st Innings'!A61</f>
        <v>ANANT BHAKE</v>
      </c>
      <c r="B61" s="17" t="str">
        <f>'1st Innings'!B61</f>
        <v>ASANKA DE SARAM</v>
      </c>
      <c r="C61" s="17" t="str">
        <f>'1st Innings'!C61</f>
        <v>Bhagatsinh londhe</v>
      </c>
      <c r="D61" s="17" t="str">
        <f>'1st Innings'!D61</f>
        <v>Ben Corbett</v>
      </c>
      <c r="E61" s="17" t="str">
        <f>'1st Innings'!E61</f>
        <v>Ashish Khaitan</v>
      </c>
      <c r="F61" s="17" t="str">
        <f>'1st Innings'!F61</f>
        <v>Deepak Khullar</v>
      </c>
      <c r="G61" s="17" t="str">
        <f>'1st Innings'!G61</f>
        <v>Dhiraj Nagpal</v>
      </c>
      <c r="H61" s="17" t="str">
        <f>'1st Innings'!H61</f>
        <v>Bharat Dholakhandi</v>
      </c>
      <c r="I61" s="17" t="str">
        <f>'1st Innings'!I61</f>
        <v>Amir Mohammad</v>
      </c>
      <c r="J61" s="17" t="str">
        <f>'1st Innings'!J61</f>
        <v>Dennis Susairaj. J</v>
      </c>
      <c r="K61" s="17" t="str">
        <f>'1st Innings'!K61</f>
        <v>Cameron Knox</v>
      </c>
      <c r="L61" s="17" t="str">
        <f>'1st Innings'!L61</f>
        <v>Andriani</v>
      </c>
      <c r="M61" s="17" t="str">
        <f>'1st Innings'!M61</f>
        <v>Arun Franklin</v>
      </c>
      <c r="N61" s="17" t="str">
        <f>'1st Innings'!N61</f>
        <v>Chetan Porwal</v>
      </c>
      <c r="O61" s="17" t="str">
        <f>'1st Innings'!O61</f>
        <v>Harshal Sunil Rane</v>
      </c>
      <c r="P61" s="17" t="str">
        <f>'1st Innings'!P61</f>
        <v>Anwar Pasha</v>
      </c>
      <c r="Q61" s="54"/>
      <c r="S61" s="3"/>
      <c r="T61" s="3"/>
      <c r="U61" s="56"/>
      <c r="V61" s="56"/>
      <c r="W61" s="56"/>
      <c r="X61" s="56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</row>
    <row r="62" spans="1:69" x14ac:dyDescent="0.25">
      <c r="A62" s="17" t="str">
        <f>'1st Innings'!A62</f>
        <v>AVINASH PAREEK</v>
      </c>
      <c r="B62" s="17" t="str">
        <f>'1st Innings'!B62</f>
        <v>AVAKASH LOHIA</v>
      </c>
      <c r="C62" s="17" t="str">
        <f>'1st Innings'!C62</f>
        <v>David Surjit</v>
      </c>
      <c r="D62" s="17" t="str">
        <f>'1st Innings'!D62</f>
        <v>Biswajit Pradhan</v>
      </c>
      <c r="E62" s="17" t="str">
        <f>'1st Innings'!E62</f>
        <v>Bubun Bubun</v>
      </c>
      <c r="F62" s="17" t="str">
        <f>'1st Innings'!F62</f>
        <v>Gajendra Asaliya</v>
      </c>
      <c r="G62" s="17" t="str">
        <f>'1st Innings'!G62</f>
        <v>Dwaraknath Naidu</v>
      </c>
      <c r="H62" s="17" t="str">
        <f>'1st Innings'!H62</f>
        <v>Deepak Sarna</v>
      </c>
      <c r="I62" s="17" t="str">
        <f>'1st Innings'!I62</f>
        <v>Amit Ambre</v>
      </c>
      <c r="J62" s="17" t="str">
        <f>'1st Innings'!J62</f>
        <v>Dhanashekaran (sekar ) Ramalingam</v>
      </c>
      <c r="K62" s="17" t="str">
        <f>'1st Innings'!K62</f>
        <v xml:space="preserve">Cameron McNamara </v>
      </c>
      <c r="L62" s="17" t="str">
        <f>'1st Innings'!L62</f>
        <v>Angga Lucky</v>
      </c>
      <c r="M62" s="17" t="str">
        <f>'1st Innings'!M62</f>
        <v>Arun Pandi</v>
      </c>
      <c r="N62" s="17" t="str">
        <f>'1st Innings'!N62</f>
        <v>Hetal Patel</v>
      </c>
      <c r="O62" s="17" t="str">
        <f>'1st Innings'!O62</f>
        <v>Hitesh Malhotra</v>
      </c>
      <c r="P62" s="17" t="str">
        <f>'1st Innings'!P62</f>
        <v>Ashfaq Hussain</v>
      </c>
      <c r="Q62" s="54"/>
      <c r="S62" s="3"/>
      <c r="T62" s="3"/>
      <c r="U62" s="56"/>
      <c r="V62" s="3"/>
      <c r="W62" s="56"/>
      <c r="X62" s="56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</row>
    <row r="63" spans="1:69" x14ac:dyDescent="0.25">
      <c r="A63" s="17" t="str">
        <f>'1st Innings'!A63</f>
        <v>BOB PLATH</v>
      </c>
      <c r="B63" s="17" t="str">
        <f>'1st Innings'!B63</f>
        <v>BABA SIVASANKARAN</v>
      </c>
      <c r="C63" s="17" t="str">
        <f>'1st Innings'!C63</f>
        <v>Dilip Udayashankar</v>
      </c>
      <c r="D63" s="17" t="str">
        <f>'1st Innings'!D63</f>
        <v>Damien Ross</v>
      </c>
      <c r="E63" s="17" t="str">
        <f>'1st Innings'!E63</f>
        <v>Deepak Kedia</v>
      </c>
      <c r="F63" s="17" t="str">
        <f>'1st Innings'!F63</f>
        <v>Hanan Khalid</v>
      </c>
      <c r="G63" s="17" t="str">
        <f>'1st Innings'!G63</f>
        <v>Gaurang Kapadia</v>
      </c>
      <c r="H63" s="17" t="str">
        <f>'1st Innings'!H63</f>
        <v>Diwakar Mohan</v>
      </c>
      <c r="I63" s="17" t="str">
        <f>'1st Innings'!I63</f>
        <v>Amit Dabas</v>
      </c>
      <c r="J63" s="17" t="str">
        <f>'1st Innings'!J63</f>
        <v>Jaganathan (Jagan ) Krishnan</v>
      </c>
      <c r="K63" s="17" t="str">
        <f>'1st Innings'!K63</f>
        <v>Charles Thursby-Pelham</v>
      </c>
      <c r="L63" s="17" t="str">
        <f>'1st Innings'!L63</f>
        <v>Ardan</v>
      </c>
      <c r="M63" s="17" t="str">
        <f>'1st Innings'!M63</f>
        <v>Ashwin Shetty</v>
      </c>
      <c r="N63" s="17" t="str">
        <f>'1st Innings'!N63</f>
        <v>Ishwar Thakkar</v>
      </c>
      <c r="O63" s="17" t="str">
        <f>'1st Innings'!O63</f>
        <v>Kapil Goel</v>
      </c>
      <c r="P63" s="17" t="str">
        <f>'1st Innings'!P63</f>
        <v>Bilal Abdus Samad</v>
      </c>
      <c r="Q63" s="54"/>
      <c r="S63" s="3"/>
      <c r="T63" s="3"/>
      <c r="U63" s="56"/>
      <c r="V63" s="3"/>
      <c r="W63" s="56"/>
      <c r="X63" s="56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</row>
    <row r="64" spans="1:69" x14ac:dyDescent="0.25">
      <c r="A64" s="17" t="str">
        <f>'1st Innings'!A64</f>
        <v>Chinmay Mallik</v>
      </c>
      <c r="B64" s="17" t="str">
        <f>'1st Innings'!B64</f>
        <v>DIHAN SILVA</v>
      </c>
      <c r="C64" s="17" t="str">
        <f>'1st Innings'!C64</f>
        <v>Gautam Chakravarthy</v>
      </c>
      <c r="D64" s="17" t="str">
        <f>'1st Innings'!D64</f>
        <v>Desandri</v>
      </c>
      <c r="E64" s="17" t="str">
        <f>'1st Innings'!E64</f>
        <v>Govind Sodani</v>
      </c>
      <c r="F64" s="17" t="str">
        <f>'1st Innings'!F64</f>
        <v>Hari Krishnan</v>
      </c>
      <c r="G64" s="17" t="str">
        <f>'1st Innings'!G64</f>
        <v>Gaurav Pathak</v>
      </c>
      <c r="H64" s="17" t="str">
        <f>'1st Innings'!H64</f>
        <v>Gunasekran</v>
      </c>
      <c r="I64" s="17" t="str">
        <f>'1st Innings'!I64</f>
        <v>Amrithanand Mandook</v>
      </c>
      <c r="J64" s="17" t="str">
        <f>'1st Innings'!J64</f>
        <v>Jeganathan S</v>
      </c>
      <c r="K64" s="17" t="str">
        <f>'1st Innings'!K64</f>
        <v>Christian Hirst</v>
      </c>
      <c r="L64" s="17" t="str">
        <f>'1st Innings'!L64</f>
        <v>Arkha Tri Maryanto</v>
      </c>
      <c r="M64" s="17" t="str">
        <f>'1st Innings'!M64</f>
        <v>Jegan Rangachari</v>
      </c>
      <c r="N64" s="17" t="str">
        <f>'1st Innings'!N64</f>
        <v>Jatinder Sandhu</v>
      </c>
      <c r="O64" s="17" t="str">
        <f>'1st Innings'!O64</f>
        <v>Kshitij</v>
      </c>
      <c r="P64" s="17" t="str">
        <f>'1st Innings'!P64</f>
        <v>Dhimanshu Raghuwanshi</v>
      </c>
      <c r="Q64" s="54"/>
      <c r="S64" s="3"/>
      <c r="T64" s="3"/>
      <c r="U64" s="56"/>
      <c r="V64" s="3"/>
      <c r="W64" s="56"/>
      <c r="X64" s="56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</row>
    <row r="65" spans="1:62" x14ac:dyDescent="0.25">
      <c r="A65" s="17" t="str">
        <f>'1st Innings'!A65</f>
        <v>DAVID HOLME</v>
      </c>
      <c r="B65" s="17" t="str">
        <f>'1st Innings'!B65</f>
        <v>GAURAV KAPOOR</v>
      </c>
      <c r="C65" s="17" t="str">
        <f>'1st Innings'!C65</f>
        <v>Harish Vaidyanathan</v>
      </c>
      <c r="D65" s="17" t="str">
        <f>'1st Innings'!D65</f>
        <v>Eki Antaria</v>
      </c>
      <c r="E65" s="17" t="str">
        <f>'1st Innings'!E65</f>
        <v>Karyadi Karyadi</v>
      </c>
      <c r="F65" s="17" t="str">
        <f>'1st Innings'!F65</f>
        <v>Harish Tiwari</v>
      </c>
      <c r="G65" s="17" t="str">
        <f>'1st Innings'!G65</f>
        <v>George Maghnani</v>
      </c>
      <c r="H65" s="17" t="str">
        <f>'1st Innings'!H65</f>
        <v>Ishan daniel</v>
      </c>
      <c r="I65" s="17" t="str">
        <f>'1st Innings'!I65</f>
        <v>Anjar Tadarus</v>
      </c>
      <c r="J65" s="17" t="str">
        <f>'1st Innings'!J65</f>
        <v>Manicka vasagan (Manic) G</v>
      </c>
      <c r="K65" s="17" t="str">
        <f>'1st Innings'!K65</f>
        <v>Corbon Loughnan</v>
      </c>
      <c r="L65" s="17" t="str">
        <f>'1st Innings'!L65</f>
        <v>Dandi</v>
      </c>
      <c r="M65" s="17" t="str">
        <f>'1st Innings'!M65</f>
        <v>John Anthony</v>
      </c>
      <c r="N65" s="17" t="str">
        <f>'1st Innings'!N65</f>
        <v>Keyur Moradia</v>
      </c>
      <c r="O65" s="17" t="str">
        <f>'1st Innings'!O65</f>
        <v>Malik Thariani</v>
      </c>
      <c r="P65" s="17" t="str">
        <f>'1st Innings'!P65</f>
        <v>Feroz Saeed Dalwai</v>
      </c>
      <c r="Q65" s="54"/>
      <c r="S65" s="3"/>
      <c r="T65" s="3"/>
      <c r="U65" s="56"/>
      <c r="V65" s="3"/>
      <c r="W65" s="56"/>
      <c r="X65" s="56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</row>
    <row r="66" spans="1:62" x14ac:dyDescent="0.25">
      <c r="A66" s="17" t="str">
        <f>'1st Innings'!A66</f>
        <v>DEEPAK SINGH</v>
      </c>
      <c r="B66" s="17" t="str">
        <f>'1st Innings'!B66</f>
        <v>KESAVADAS RAVINDRAN</v>
      </c>
      <c r="C66" s="17" t="str">
        <f>'1st Innings'!C66</f>
        <v>Kapil Goel</v>
      </c>
      <c r="D66" s="17" t="str">
        <f>'1st Innings'!D66</f>
        <v>Jared Seiffert</v>
      </c>
      <c r="E66" s="17" t="str">
        <f>'1st Innings'!E66</f>
        <v>Kaushik Vishvanath</v>
      </c>
      <c r="F66" s="17" t="str">
        <f>'1st Innings'!F66</f>
        <v>Harshad Bhat</v>
      </c>
      <c r="G66" s="17" t="str">
        <f>'1st Innings'!G66</f>
        <v>Hardeep Sidhu</v>
      </c>
      <c r="H66" s="17" t="str">
        <f>'1st Innings'!H66</f>
        <v>Jalaj Chaturvedi</v>
      </c>
      <c r="I66" s="17" t="str">
        <f>'1st Innings'!I66</f>
        <v>Ashit Mehta</v>
      </c>
      <c r="J66" s="17" t="str">
        <f>'1st Innings'!J66</f>
        <v>Rajeev Gandhi</v>
      </c>
      <c r="K66" s="17" t="str">
        <f>'1st Innings'!K66</f>
        <v>Dan Brown</v>
      </c>
      <c r="L66" s="17" t="str">
        <f>'1st Innings'!L66</f>
        <v>Fachri Nurhadi</v>
      </c>
      <c r="M66" s="17" t="str">
        <f>'1st Innings'!M66</f>
        <v>Karthikeyan Sakthivel</v>
      </c>
      <c r="N66" s="17" t="str">
        <f>'1st Innings'!N66</f>
        <v>Kunal Malhotra</v>
      </c>
      <c r="O66" s="17" t="str">
        <f>'1st Innings'!O66</f>
        <v>Maneesh Tripathi</v>
      </c>
      <c r="P66" s="17" t="str">
        <f>'1st Innings'!P66</f>
        <v xml:space="preserve">Irfan Raza </v>
      </c>
      <c r="Q66" s="54"/>
      <c r="S66" s="3"/>
      <c r="T66" s="3"/>
      <c r="U66" s="56"/>
      <c r="V66" s="3"/>
      <c r="W66" s="56"/>
      <c r="X66" s="56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</row>
    <row r="67" spans="1:62" x14ac:dyDescent="0.25">
      <c r="A67" s="17" t="str">
        <f>'1st Innings'!A67</f>
        <v>GAURAV TIWARI</v>
      </c>
      <c r="B67" s="17" t="str">
        <f>'1st Innings'!B67</f>
        <v>Mufasil PM</v>
      </c>
      <c r="C67" s="17" t="str">
        <f>'1st Innings'!C67</f>
        <v>Krishna Kumar V</v>
      </c>
      <c r="D67" s="17" t="str">
        <f>'1st Innings'!D67</f>
        <v>Jon Baker</v>
      </c>
      <c r="E67" s="17" t="str">
        <f>'1st Innings'!E67</f>
        <v>Nakul Boora</v>
      </c>
      <c r="F67" s="17" t="str">
        <f>'1st Innings'!F67</f>
        <v>John Dulip Kumar</v>
      </c>
      <c r="G67" s="17" t="str">
        <f>'1st Innings'!G67</f>
        <v>Kishor Gunwani</v>
      </c>
      <c r="H67" s="17" t="str">
        <f>'1st Innings'!H67</f>
        <v>Karan Tiwari</v>
      </c>
      <c r="I67" s="17" t="str">
        <f>'1st Innings'!I67</f>
        <v>Ashwin Sunder</v>
      </c>
      <c r="J67" s="17" t="str">
        <f>'1st Innings'!J67</f>
        <v>Ranjan Shankar</v>
      </c>
      <c r="K67" s="17" t="str">
        <f>'1st Innings'!K67</f>
        <v>Dan Thomas</v>
      </c>
      <c r="L67" s="17" t="str">
        <f>'1st Innings'!L67</f>
        <v>Febrian Dana Wiyoko</v>
      </c>
      <c r="M67" s="17" t="str">
        <f>'1st Innings'!M67</f>
        <v>Kiruba Sankar</v>
      </c>
      <c r="N67" s="17" t="str">
        <f>'1st Innings'!N67</f>
        <v>Mayank Puri</v>
      </c>
      <c r="O67" s="17" t="str">
        <f>'1st Innings'!O67</f>
        <v>Mohammed Yaqoob</v>
      </c>
      <c r="P67" s="17" t="str">
        <f>'1st Innings'!P67</f>
        <v>Jagdeep Singh</v>
      </c>
      <c r="Q67" s="54"/>
      <c r="S67" s="3"/>
      <c r="T67" s="3"/>
      <c r="U67" s="56"/>
      <c r="V67" s="3"/>
      <c r="W67" s="56"/>
      <c r="X67" s="56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</row>
    <row r="68" spans="1:62" x14ac:dyDescent="0.25">
      <c r="A68" s="17" t="str">
        <f>'1st Innings'!A68</f>
        <v>GREG HAYNE</v>
      </c>
      <c r="B68" s="17" t="str">
        <f>'1st Innings'!B68</f>
        <v>MUHRIZ MUZAMMIL</v>
      </c>
      <c r="C68" s="17" t="str">
        <f>'1st Innings'!C68</f>
        <v>Maneesh Dubey</v>
      </c>
      <c r="D68" s="17" t="str">
        <f>'1st Innings'!D68</f>
        <v>Josh Van Vianen</v>
      </c>
      <c r="E68" s="17" t="str">
        <f>'1st Innings'!E68</f>
        <v>Nitin Joshi</v>
      </c>
      <c r="F68" s="17" t="str">
        <f>'1st Innings'!F68</f>
        <v>Kapil Bhutra</v>
      </c>
      <c r="G68" s="17" t="str">
        <f>'1st Innings'!G68</f>
        <v>Mahesh Amarnani</v>
      </c>
      <c r="H68" s="17" t="str">
        <f>'1st Innings'!H68</f>
        <v>Manish Semwal</v>
      </c>
      <c r="I68" s="17" t="str">
        <f>'1st Innings'!I68</f>
        <v>Cecil Jacob</v>
      </c>
      <c r="J68" s="17" t="str">
        <f>'1st Innings'!J68</f>
        <v>Ravi Venkatesh</v>
      </c>
      <c r="K68" s="17" t="str">
        <f>'1st Innings'!K68</f>
        <v xml:space="preserve">Davin Frankel </v>
      </c>
      <c r="L68" s="17" t="str">
        <f>'1st Innings'!L68</f>
        <v>Fernandes Nato Wellarana</v>
      </c>
      <c r="M68" s="17" t="str">
        <f>'1st Innings'!M68</f>
        <v>Narasimha Lakshmi Gowda</v>
      </c>
      <c r="N68" s="17" t="str">
        <f>'1st Innings'!N68</f>
        <v>Miraz Monga</v>
      </c>
      <c r="O68" s="17" t="str">
        <f>'1st Innings'!O68</f>
        <v>Mukesh Khetan</v>
      </c>
      <c r="P68" s="17" t="str">
        <f>'1st Innings'!P68</f>
        <v>jawahar subra manian</v>
      </c>
      <c r="Q68" s="54"/>
      <c r="S68" s="3"/>
      <c r="T68" s="3"/>
      <c r="U68" s="56"/>
      <c r="V68" s="3"/>
      <c r="W68" s="56"/>
      <c r="X68" s="56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</row>
    <row r="69" spans="1:62" x14ac:dyDescent="0.25">
      <c r="A69" s="17" t="str">
        <f>'1st Innings'!A69</f>
        <v>HIMANSHU SHEKAR</v>
      </c>
      <c r="B69" s="17" t="str">
        <f>'1st Innings'!B69</f>
        <v>NALAKA KODITUWAKKU</v>
      </c>
      <c r="C69" s="17" t="str">
        <f>'1st Innings'!C69</f>
        <v>Manikandan Chandrashekar</v>
      </c>
      <c r="D69" s="17" t="str">
        <f>'1st Innings'!D69</f>
        <v>Justin Horan</v>
      </c>
      <c r="E69" s="17" t="str">
        <f>'1st Innings'!E69</f>
        <v>PC Sethi</v>
      </c>
      <c r="F69" s="17" t="str">
        <f>'1st Innings'!F69</f>
        <v>Mahesh Thadani</v>
      </c>
      <c r="G69" s="17" t="str">
        <f>'1st Innings'!G69</f>
        <v>Manoj Arora</v>
      </c>
      <c r="H69" s="17" t="str">
        <f>'1st Innings'!H69</f>
        <v>Maulik Trivedi</v>
      </c>
      <c r="I69" s="17" t="str">
        <f>'1st Innings'!I69</f>
        <v>Faisal Hashmi</v>
      </c>
      <c r="J69" s="17" t="str">
        <f>'1st Innings'!J69</f>
        <v>Santhosh Kumar</v>
      </c>
      <c r="K69" s="17" t="str">
        <f>'1st Innings'!K69</f>
        <v>Debmalaya Jana</v>
      </c>
      <c r="L69" s="17" t="str">
        <f>'1st Innings'!L69</f>
        <v>Fiskal Tirta Yoga Sabara</v>
      </c>
      <c r="M69" s="17" t="str">
        <f>'1st Innings'!M69</f>
        <v>Prabhukaliraj Kanagarajan</v>
      </c>
      <c r="N69" s="17" t="str">
        <f>'1st Innings'!N69</f>
        <v>Mitesh Dingra</v>
      </c>
      <c r="O69" s="17" t="str">
        <f>'1st Innings'!O69</f>
        <v xml:space="preserve">Nagesh Lakshmi Gawda </v>
      </c>
      <c r="P69" s="17" t="str">
        <f>'1st Innings'!P69</f>
        <v>Mohammad Mubeen</v>
      </c>
      <c r="Q69" s="54"/>
      <c r="S69" s="3"/>
      <c r="T69" s="3"/>
      <c r="U69" s="56"/>
      <c r="V69" s="3"/>
      <c r="W69" s="56"/>
      <c r="X69" s="56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</row>
    <row r="70" spans="1:62" x14ac:dyDescent="0.25">
      <c r="A70" s="17" t="str">
        <f>'1st Innings'!A70</f>
        <v>JIM HOWLETT</v>
      </c>
      <c r="B70" s="17" t="str">
        <f>'1st Innings'!B70</f>
        <v>Naushad</v>
      </c>
      <c r="C70" s="17" t="str">
        <f>'1st Innings'!C70</f>
        <v>Mayank Sharma</v>
      </c>
      <c r="D70" s="17" t="str">
        <f>'1st Innings'!D70</f>
        <v>Kookie Jambunathan</v>
      </c>
      <c r="E70" s="17" t="str">
        <f>'1st Innings'!E70</f>
        <v>R Srikkanth</v>
      </c>
      <c r="F70" s="17" t="str">
        <f>'1st Innings'!F70</f>
        <v>Mohit Keshwani</v>
      </c>
      <c r="G70" s="17" t="str">
        <f>'1st Innings'!G70</f>
        <v>Pallav Malhotra</v>
      </c>
      <c r="H70" s="17" t="str">
        <f>'1st Innings'!H70</f>
        <v>Mohammad Imran</v>
      </c>
      <c r="I70" s="17" t="str">
        <f>'1st Innings'!I70</f>
        <v>Haider Ali</v>
      </c>
      <c r="J70" s="17" t="str">
        <f>'1st Innings'!J70</f>
        <v>Satheesh  Kumar Subramanium</v>
      </c>
      <c r="K70" s="17" t="str">
        <f>'1st Innings'!K70</f>
        <v xml:space="preserve">Dick Slaney </v>
      </c>
      <c r="L70" s="17" t="str">
        <f>'1st Innings'!L70</f>
        <v>Gema Fajar</v>
      </c>
      <c r="M70" s="17" t="str">
        <f>'1st Innings'!M70</f>
        <v>Prem Kumar Subbaiah</v>
      </c>
      <c r="N70" s="17" t="str">
        <f>'1st Innings'!N70</f>
        <v>Pradeep Patnaik</v>
      </c>
      <c r="O70" s="17" t="str">
        <f>'1st Innings'!O70</f>
        <v>Neeraj Chaddha</v>
      </c>
      <c r="P70" s="17" t="str">
        <f>'1st Innings'!P70</f>
        <v>Mohideen Nanapallai</v>
      </c>
      <c r="Q70" s="54"/>
      <c r="S70" s="3"/>
      <c r="T70" s="3"/>
      <c r="U70" s="56"/>
      <c r="V70" s="3"/>
      <c r="W70" s="56"/>
      <c r="X70" s="56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</row>
    <row r="71" spans="1:62" x14ac:dyDescent="0.25">
      <c r="A71" s="17" t="str">
        <f>'1st Innings'!A71</f>
        <v>JP LE RICHE</v>
      </c>
      <c r="B71" s="17" t="str">
        <f>'1st Innings'!B71</f>
        <v>PRAVEEN UPPAL</v>
      </c>
      <c r="C71" s="17" t="str">
        <f>'1st Innings'!C71</f>
        <v>Nagraj Bitla</v>
      </c>
      <c r="D71" s="17" t="str">
        <f>'1st Innings'!D71</f>
        <v>Kunal Desai</v>
      </c>
      <c r="E71" s="17" t="str">
        <f>'1st Innings'!E71</f>
        <v>Rohan Rajpal</v>
      </c>
      <c r="F71" s="17" t="str">
        <f>'1st Innings'!F71</f>
        <v>Muhammad Ishaq Khan</v>
      </c>
      <c r="G71" s="17" t="str">
        <f>'1st Innings'!G71</f>
        <v>Pankaj Jain</v>
      </c>
      <c r="H71" s="17" t="str">
        <f>'1st Innings'!H71</f>
        <v>Mohit Dilawar Singh</v>
      </c>
      <c r="I71" s="17" t="str">
        <f>'1st Innings'!I71</f>
        <v>Irwan Buhari</v>
      </c>
      <c r="J71" s="17" t="str">
        <f>'1st Innings'!J71</f>
        <v>Satinder Minhas</v>
      </c>
      <c r="K71" s="17" t="str">
        <f>'1st Innings'!K71</f>
        <v>DJ Mathew</v>
      </c>
      <c r="L71" s="17" t="str">
        <f>'1st Innings'!L71</f>
        <v>Irwan Siregar</v>
      </c>
      <c r="M71" s="17" t="str">
        <f>'1st Innings'!M71</f>
        <v>Ramachandran parthasarathy</v>
      </c>
      <c r="N71" s="17" t="str">
        <f>'1st Innings'!N71</f>
        <v>Prashant Kamat</v>
      </c>
      <c r="O71" s="17" t="str">
        <f>'1st Innings'!O71</f>
        <v>Poonam Bumb</v>
      </c>
      <c r="P71" s="17" t="str">
        <f>'1st Innings'!P71</f>
        <v>Muhammad Ridho</v>
      </c>
      <c r="Q71" s="54"/>
      <c r="S71" s="3"/>
      <c r="T71" s="3"/>
      <c r="U71" s="56"/>
      <c r="V71" s="3"/>
      <c r="W71" s="56"/>
      <c r="X71" s="56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</row>
    <row r="72" spans="1:62" x14ac:dyDescent="0.25">
      <c r="A72" s="17" t="str">
        <f>'1st Innings'!A72</f>
        <v>Navin Param</v>
      </c>
      <c r="B72" s="17" t="str">
        <f>'1st Innings'!B72</f>
        <v>PULOKESH (PULO) MAJUMDAR</v>
      </c>
      <c r="C72" s="17" t="str">
        <f>'1st Innings'!C72</f>
        <v>Neeraj Sharma</v>
      </c>
      <c r="D72" s="17" t="str">
        <f>'1st Innings'!D72</f>
        <v>Liam Cass</v>
      </c>
      <c r="E72" s="17" t="str">
        <f>'1st Innings'!E72</f>
        <v>Sadanand Janpandit</v>
      </c>
      <c r="F72" s="17" t="str">
        <f>'1st Innings'!F72</f>
        <v>Neetesh Pansare</v>
      </c>
      <c r="G72" s="17" t="str">
        <f>'1st Innings'!G72</f>
        <v>Partha Kabi</v>
      </c>
      <c r="H72" s="17" t="str">
        <f>'1st Innings'!H72</f>
        <v>Naresh Gupta</v>
      </c>
      <c r="I72" s="17" t="str">
        <f>'1st Innings'!I72</f>
        <v>Javed Hayat</v>
      </c>
      <c r="J72" s="17" t="str">
        <f>'1st Innings'!J72</f>
        <v>Srini KG srinivas</v>
      </c>
      <c r="K72" s="17" t="str">
        <f>'1st Innings'!K72</f>
        <v>Geoff Perryman</v>
      </c>
      <c r="L72" s="17" t="str">
        <f>'1st Innings'!L72</f>
        <v>Juni Aryadi</v>
      </c>
      <c r="M72" s="17" t="str">
        <f>'1st Innings'!M72</f>
        <v>Reddy A.V</v>
      </c>
      <c r="N72" s="17" t="str">
        <f>'1st Innings'!B73</f>
        <v>RAJEEV KUMAR</v>
      </c>
      <c r="O72" s="17" t="str">
        <f>'1st Innings'!O72</f>
        <v>Rakesh Gowda</v>
      </c>
      <c r="P72" s="17" t="str">
        <f>'1st Innings'!P72</f>
        <v>Nasir Mehdi</v>
      </c>
      <c r="Q72" s="54"/>
      <c r="S72" s="3"/>
      <c r="T72" s="3"/>
      <c r="U72" s="56"/>
      <c r="V72" s="3"/>
      <c r="W72" s="56"/>
      <c r="X72" s="56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</row>
    <row r="73" spans="1:62" x14ac:dyDescent="0.25">
      <c r="A73" s="17" t="str">
        <f>'1st Innings'!A73</f>
        <v>Owais Parry</v>
      </c>
      <c r="B73" s="17" t="str">
        <f>'1st Innings'!B73</f>
        <v>RAJEEV KUMAR</v>
      </c>
      <c r="C73" s="17" t="str">
        <f>'1st Innings'!C73</f>
        <v>Nitin Gupta</v>
      </c>
      <c r="D73" s="17" t="str">
        <f>'1st Innings'!D73</f>
        <v>Lindsay Wood</v>
      </c>
      <c r="E73" s="17" t="str">
        <f>'1st Innings'!E73</f>
        <v>Sandeep Bhandarwar</v>
      </c>
      <c r="F73" s="17" t="str">
        <f>'1st Innings'!F73</f>
        <v>Prakash Kewlani</v>
      </c>
      <c r="G73" s="17" t="str">
        <f>'1st Innings'!G73</f>
        <v>Rachin Arora</v>
      </c>
      <c r="H73" s="17" t="str">
        <f>'1st Innings'!H73</f>
        <v>Nikhil D'souza</v>
      </c>
      <c r="I73" s="17" t="str">
        <f>'1st Innings'!I73</f>
        <v>Jibu Chacko</v>
      </c>
      <c r="J73" s="17" t="str">
        <f>'1st Innings'!J73</f>
        <v>Srinivasan (Cheenu) Venkatachalam</v>
      </c>
      <c r="K73" s="17" t="str">
        <f>'1st Innings'!K73</f>
        <v>Greg Furness</v>
      </c>
      <c r="L73" s="17" t="str">
        <f>'1st Innings'!L73</f>
        <v>Melvin Ndoen</v>
      </c>
      <c r="M73" s="17" t="str">
        <f>'1st Innings'!M73</f>
        <v>Sabu Joy</v>
      </c>
      <c r="N73" s="17" t="str">
        <f>'1st Innings'!N73</f>
        <v>Punit Gambhir</v>
      </c>
      <c r="O73" s="17" t="str">
        <f>'1st Innings'!O73</f>
        <v>Rakshan Rai</v>
      </c>
      <c r="P73" s="17" t="str">
        <f>'1st Innings'!P73</f>
        <v>Parshotam Lal</v>
      </c>
      <c r="Q73" s="54"/>
      <c r="S73" s="3"/>
      <c r="T73" s="3"/>
      <c r="U73" s="56"/>
      <c r="V73" s="3"/>
      <c r="W73" s="56"/>
      <c r="X73" s="56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</row>
    <row r="74" spans="1:62" x14ac:dyDescent="0.25">
      <c r="A74" s="17" t="str">
        <f>'1st Innings'!A74</f>
        <v>PAUL GRIFFITH</v>
      </c>
      <c r="B74" s="17" t="str">
        <f>'1st Innings'!B74</f>
        <v>RAJESH MRIDULA</v>
      </c>
      <c r="C74" s="17" t="str">
        <f>'1st Innings'!C74</f>
        <v>Palwinder Singh</v>
      </c>
      <c r="D74" s="17" t="str">
        <f>'1st Innings'!D74</f>
        <v>Malay Trivedi</v>
      </c>
      <c r="E74" s="17" t="str">
        <f>'1st Innings'!E74</f>
        <v>Sandeep Boora</v>
      </c>
      <c r="F74" s="17" t="str">
        <f>'1st Innings'!F74</f>
        <v>Rahul Kukreja</v>
      </c>
      <c r="G74" s="17" t="str">
        <f>'1st Innings'!G74</f>
        <v>Rahul Pagad</v>
      </c>
      <c r="H74" s="17" t="str">
        <f>'1st Innings'!H74</f>
        <v xml:space="preserve">Prakash </v>
      </c>
      <c r="I74" s="17" t="str">
        <f>'1st Innings'!I74</f>
        <v>Jimmy Ahmed</v>
      </c>
      <c r="J74" s="17" t="str">
        <f>'1st Innings'!J74</f>
        <v>Sunil Samtani</v>
      </c>
      <c r="K74" s="17" t="str">
        <f>'1st Innings'!K74</f>
        <v>James Trewin</v>
      </c>
      <c r="L74" s="17" t="str">
        <f>'1st Innings'!L74</f>
        <v>Muhammad Ari Cahyo Nugroho</v>
      </c>
      <c r="M74" s="17" t="str">
        <f>'1st Innings'!M74</f>
        <v>Sakthi Narayanan</v>
      </c>
      <c r="N74" s="17" t="str">
        <f>'1st Innings'!N74</f>
        <v>Rakesh Rathore</v>
      </c>
      <c r="O74" s="17" t="str">
        <f>'1st Innings'!O74</f>
        <v>Ravinder Negi</v>
      </c>
      <c r="P74" s="17" t="str">
        <f>'1st Innings'!P74</f>
        <v>Prabhakar Dutta</v>
      </c>
      <c r="Q74" s="54"/>
      <c r="S74" s="3"/>
      <c r="T74" s="3"/>
      <c r="U74" s="56"/>
      <c r="V74" s="56"/>
      <c r="W74" s="56"/>
      <c r="X74" s="56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</row>
    <row r="75" spans="1:62" x14ac:dyDescent="0.25">
      <c r="A75" s="17" t="str">
        <f>'1st Innings'!A75</f>
        <v>PRAKASH SUBRAMANIAN</v>
      </c>
      <c r="B75" s="17" t="str">
        <f>'1st Innings'!B75</f>
        <v>RAM KRISHNAN</v>
      </c>
      <c r="C75" s="17" t="str">
        <f>'1st Innings'!C75</f>
        <v>Piyush Jha</v>
      </c>
      <c r="D75" s="17" t="str">
        <f>'1st Innings'!D75</f>
        <v>Mark Bruny</v>
      </c>
      <c r="E75" s="17" t="str">
        <f>'1st Innings'!E75</f>
        <v>Sandeep Kukkar</v>
      </c>
      <c r="F75" s="17" t="str">
        <f>'1st Innings'!F75</f>
        <v>Rahul Thukral</v>
      </c>
      <c r="G75" s="17" t="str">
        <f>'1st Innings'!G75</f>
        <v>Santosh Kumar</v>
      </c>
      <c r="H75" s="17" t="str">
        <f>'1st Innings'!H75</f>
        <v>Pratyush Chatuvedi</v>
      </c>
      <c r="I75" s="17" t="str">
        <f>'1st Innings'!I75</f>
        <v>Kanav Choudary</v>
      </c>
      <c r="J75" s="17" t="str">
        <f>'1st Innings'!J75</f>
        <v>Vasudevan Rangasamy</v>
      </c>
      <c r="K75" s="17" t="str">
        <f>'1st Innings'!K75</f>
        <v>Jon Burrough</v>
      </c>
      <c r="L75" s="17" t="str">
        <f>'1st Innings'!L75</f>
        <v>Muhammad Syahrul Rahmadan</v>
      </c>
      <c r="M75" s="17" t="str">
        <f>'1st Innings'!M75</f>
        <v>Salahudeen Hameed Mohamed</v>
      </c>
      <c r="N75" s="17" t="str">
        <f>'1st Innings'!N75</f>
        <v>Rakesh Sharma</v>
      </c>
      <c r="O75" s="17" t="str">
        <f>'1st Innings'!O75</f>
        <v>Rohan Tripathi</v>
      </c>
      <c r="P75" s="17" t="str">
        <f>'1st Innings'!P75</f>
        <v>Raja Kundu</v>
      </c>
      <c r="Q75" s="54"/>
      <c r="S75" s="3"/>
      <c r="T75" s="3"/>
      <c r="U75" s="56"/>
      <c r="V75" s="3"/>
      <c r="W75" s="56"/>
      <c r="X75" s="56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</row>
    <row r="76" spans="1:62" x14ac:dyDescent="0.25">
      <c r="A76" s="17" t="str">
        <f>'1st Innings'!A76</f>
        <v>RAJEEV RAJESWARAN</v>
      </c>
      <c r="B76" s="17" t="str">
        <f>'1st Innings'!B76</f>
        <v>Razu Ahmed</v>
      </c>
      <c r="C76" s="17" t="str">
        <f>'1st Innings'!C76</f>
        <v>Rachin Kumar</v>
      </c>
      <c r="D76" s="17" t="str">
        <f>'1st Innings'!D76</f>
        <v>Mark Sims</v>
      </c>
      <c r="E76" s="17" t="str">
        <f>'1st Innings'!E76</f>
        <v>Shailesh Thulaskar</v>
      </c>
      <c r="F76" s="17" t="str">
        <f>'1st Innings'!F76</f>
        <v>Rakesh</v>
      </c>
      <c r="G76" s="17" t="str">
        <f>'1st Innings'!G76</f>
        <v>Vasudevan Parthasarathy</v>
      </c>
      <c r="H76" s="17" t="str">
        <f>'1st Innings'!H76</f>
        <v>Satya Ganesh</v>
      </c>
      <c r="I76" s="17" t="str">
        <f>'1st Innings'!I76</f>
        <v>Malcom Monteiro</v>
      </c>
      <c r="J76" s="17" t="str">
        <f>'1st Innings'!J76</f>
        <v>Vijay Kumar</v>
      </c>
      <c r="K76" s="17" t="str">
        <f>'1st Innings'!K76</f>
        <v xml:space="preserve">Justin Lee </v>
      </c>
      <c r="L76" s="17" t="str">
        <f>'1st Innings'!L76</f>
        <v>Refan Desnika</v>
      </c>
      <c r="M76" s="17" t="str">
        <f>'1st Innings'!M76</f>
        <v>Sivakumar Thangasamy Suriyamoorthy</v>
      </c>
      <c r="N76" s="17" t="str">
        <f>'1st Innings'!N76</f>
        <v>Ramesh Dubagunta</v>
      </c>
      <c r="O76" s="17" t="str">
        <f>'1st Innings'!O76</f>
        <v>Samir Patel</v>
      </c>
      <c r="P76" s="17" t="str">
        <f>'1st Innings'!P76</f>
        <v>Ramakrishna Prasad</v>
      </c>
      <c r="Q76" s="54"/>
      <c r="S76" s="3"/>
      <c r="T76" s="3"/>
      <c r="U76" s="56"/>
      <c r="V76" s="3"/>
      <c r="W76" s="56"/>
      <c r="X76" s="56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</row>
    <row r="77" spans="1:62" x14ac:dyDescent="0.25">
      <c r="A77" s="17" t="str">
        <f>'1st Innings'!A77</f>
        <v>Rajendra Singh</v>
      </c>
      <c r="B77" s="17" t="str">
        <f>'1st Innings'!B77</f>
        <v>RIAZ UR RAHMAN</v>
      </c>
      <c r="C77" s="17" t="str">
        <f>'1st Innings'!C77</f>
        <v>Rajat Jain</v>
      </c>
      <c r="D77" s="17" t="str">
        <f>'1st Innings'!D77</f>
        <v>Olivier Bouwmeester</v>
      </c>
      <c r="E77" s="17" t="str">
        <f>'1st Innings'!E77</f>
        <v>Shankar Mishra</v>
      </c>
      <c r="F77" s="17" t="str">
        <f>'1st Innings'!F77</f>
        <v>Ravinder Singh</v>
      </c>
      <c r="G77" s="17" t="str">
        <f>'1st Innings'!G77</f>
        <v>Vinayak Kurkoti</v>
      </c>
      <c r="H77" s="17" t="str">
        <f>'1st Innings'!H77</f>
        <v>Sourav Bera</v>
      </c>
      <c r="I77" s="17" t="str">
        <f>'1st Innings'!I77</f>
        <v>Malik Arslan</v>
      </c>
      <c r="J77" s="17" t="str">
        <f>'1st Innings'!J77</f>
        <v>Vimal  Mohan</v>
      </c>
      <c r="K77" s="17" t="str">
        <f>'1st Innings'!K77</f>
        <v xml:space="preserve">Liam Hammer </v>
      </c>
      <c r="L77" s="17" t="str">
        <f>'1st Innings'!L77</f>
        <v>Ridwan Amin</v>
      </c>
      <c r="M77" s="17" t="str">
        <f>'1st Innings'!M77</f>
        <v>Srivathsan V B</v>
      </c>
      <c r="N77" s="17" t="str">
        <f>'1st Innings'!N77</f>
        <v>Rinkesh Khosla</v>
      </c>
      <c r="O77" s="17" t="str">
        <f>'1st Innings'!O77</f>
        <v>Sanwar Agrawal</v>
      </c>
      <c r="P77" s="17" t="str">
        <f>'1st Innings'!P77</f>
        <v>RAZU AHMED</v>
      </c>
      <c r="Q77" s="54"/>
      <c r="S77" s="3"/>
      <c r="T77" s="3"/>
      <c r="U77" s="56"/>
      <c r="V77" s="56"/>
      <c r="W77" s="56"/>
      <c r="X77" s="56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</row>
    <row r="78" spans="1:62" x14ac:dyDescent="0.25">
      <c r="A78" s="17" t="str">
        <f>'1st Innings'!A78</f>
        <v>RAJNEESH VASUDEVA</v>
      </c>
      <c r="B78" s="17" t="str">
        <f>'1st Innings'!B78</f>
        <v>SABRY SALAHUDEEN</v>
      </c>
      <c r="C78" s="17" t="str">
        <f>'1st Innings'!C78</f>
        <v>Rakesh Chand</v>
      </c>
      <c r="D78" s="17" t="str">
        <f>'1st Innings'!D78</f>
        <v>Pete Clark</v>
      </c>
      <c r="E78" s="17" t="str">
        <f>'1st Innings'!E78</f>
        <v>Subhashish Parida</v>
      </c>
      <c r="F78" s="17" t="str">
        <f>'1st Innings'!F78</f>
        <v>Rikesh Parikh</v>
      </c>
      <c r="G78" s="17" t="str">
        <f>'1st Innings'!G78</f>
        <v>Vishal Ganti</v>
      </c>
      <c r="H78" s="17">
        <f>'1st Innings'!H78</f>
        <v>0</v>
      </c>
      <c r="I78" s="17" t="str">
        <f>'1st Innings'!I78</f>
        <v>Muhaddis</v>
      </c>
      <c r="J78" s="17" t="str">
        <f>'1st Innings'!J78</f>
        <v>Vimal  Nair</v>
      </c>
      <c r="K78" s="17" t="str">
        <f>'1st Innings'!K78</f>
        <v xml:space="preserve">Mark Soffer </v>
      </c>
      <c r="L78" s="17" t="str">
        <f>'1st Innings'!L78</f>
        <v>Riski Sanjaya</v>
      </c>
      <c r="M78" s="17" t="str">
        <f>'1st Innings'!M78</f>
        <v>Suresh Chidambaram</v>
      </c>
      <c r="N78" s="17" t="str">
        <f>'1st Innings'!N78</f>
        <v>Rizwan Khan</v>
      </c>
      <c r="O78" s="17" t="str">
        <f>'1st Innings'!O78</f>
        <v>Sravan Kumar</v>
      </c>
      <c r="P78" s="17" t="str">
        <f>'1st Innings'!P78</f>
        <v>Rehan Abdul Ghaffar</v>
      </c>
      <c r="Q78" s="54"/>
      <c r="S78" s="3"/>
      <c r="T78" s="3"/>
      <c r="U78" s="56"/>
      <c r="V78" s="3"/>
      <c r="W78" s="56"/>
      <c r="X78" s="56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</row>
    <row r="79" spans="1:62" x14ac:dyDescent="0.25">
      <c r="A79" s="17" t="str">
        <f>'1st Innings'!A79</f>
        <v>Srinivas Murthy</v>
      </c>
      <c r="B79" s="17" t="str">
        <f>'1st Innings'!B79</f>
        <v>SAJITH PULLARKAT</v>
      </c>
      <c r="C79" s="17" t="str">
        <f>'1st Innings'!C79</f>
        <v>Ruthra Kumar Loganathan</v>
      </c>
      <c r="D79" s="17" t="str">
        <f>'1st Innings'!D79</f>
        <v>Reuben Brimage</v>
      </c>
      <c r="E79" s="17" t="str">
        <f>'1st Innings'!E79</f>
        <v>Sudir Sharma</v>
      </c>
      <c r="F79" s="17" t="str">
        <f>'1st Innings'!F79</f>
        <v>Rupesh Shah</v>
      </c>
      <c r="G79" s="17">
        <f>'1st Innings'!G79</f>
        <v>0</v>
      </c>
      <c r="H79" s="17">
        <f>'1st Innings'!H79</f>
        <v>0</v>
      </c>
      <c r="I79" s="17" t="str">
        <f>'1st Innings'!I79</f>
        <v>Parag Haldankar</v>
      </c>
      <c r="J79" s="17" t="str">
        <f>'1st Innings'!J79</f>
        <v>Vivek Nath Balasundaram</v>
      </c>
      <c r="K79" s="17" t="str">
        <f>'1st Innings'!K79</f>
        <v>Marten Eddy</v>
      </c>
      <c r="L79" s="17" t="str">
        <f>'1st Innings'!L79</f>
        <v>Rudolf Febyant Matatias</v>
      </c>
      <c r="M79" s="17" t="str">
        <f>'1st Innings'!M79</f>
        <v>Venkatesh Rajendran</v>
      </c>
      <c r="N79" s="17" t="str">
        <f>'1st Innings'!N79</f>
        <v>Roopesh Shah</v>
      </c>
      <c r="O79" s="17" t="str">
        <f>'1st Innings'!O79</f>
        <v>Surendra Khetan</v>
      </c>
      <c r="P79" s="17" t="str">
        <f>'1st Innings'!P79</f>
        <v>Riski Sanjaya</v>
      </c>
      <c r="Q79" s="54"/>
      <c r="S79" s="3"/>
      <c r="T79" s="3"/>
      <c r="U79" s="56"/>
      <c r="V79" s="3"/>
      <c r="W79" s="56"/>
      <c r="X79" s="56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</row>
    <row r="80" spans="1:62" x14ac:dyDescent="0.25">
      <c r="A80" s="17" t="str">
        <f>'1st Innings'!A80</f>
        <v>Suda Arsa</v>
      </c>
      <c r="B80" s="17" t="str">
        <f>'1st Innings'!B80</f>
        <v>Saleem</v>
      </c>
      <c r="C80" s="17" t="str">
        <f>'1st Innings'!C80</f>
        <v>Sambi Reddy Marella</v>
      </c>
      <c r="D80" s="17" t="str">
        <f>'1st Innings'!D80</f>
        <v>Rick Monaghan</v>
      </c>
      <c r="E80" s="17" t="str">
        <f>'1st Innings'!E80</f>
        <v>Suresh Kumar</v>
      </c>
      <c r="F80" s="17" t="str">
        <f>'1st Innings'!F80</f>
        <v>Saleem Khan</v>
      </c>
      <c r="G80" s="17">
        <f>'1st Innings'!G80</f>
        <v>0</v>
      </c>
      <c r="H80" s="17">
        <f>'1st Innings'!H80</f>
        <v>0</v>
      </c>
      <c r="I80" s="17" t="str">
        <f>'1st Innings'!I80</f>
        <v>Prakash Vijaykumar</v>
      </c>
      <c r="J80" s="17">
        <f>'1st Innings'!J80</f>
        <v>0</v>
      </c>
      <c r="K80" s="17" t="str">
        <f>'1st Innings'!K80</f>
        <v>Mick Dumenil</v>
      </c>
      <c r="L80" s="17" t="str">
        <f>'1st Innings'!L80</f>
        <v>Sachin Gopalan</v>
      </c>
      <c r="M80" s="17">
        <f>'1st Innings'!M80</f>
        <v>0</v>
      </c>
      <c r="N80" s="17" t="str">
        <f>'1st Innings'!N80</f>
        <v>Roy Roy</v>
      </c>
      <c r="O80" s="17" t="str">
        <f>'1st Innings'!O80</f>
        <v>Sushil Khanna</v>
      </c>
      <c r="P80" s="17" t="str">
        <f>'1st Innings'!F85</f>
        <v>Taimur Khan</v>
      </c>
      <c r="Q80" s="54"/>
      <c r="S80" s="3"/>
      <c r="T80" s="3"/>
      <c r="U80" s="56"/>
      <c r="V80" s="3"/>
      <c r="W80" s="56"/>
      <c r="X80" s="56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</row>
    <row r="81" spans="1:66" x14ac:dyDescent="0.25">
      <c r="A81" s="17" t="str">
        <f>'1st Innings'!A81</f>
        <v>SUHAIL MODAK</v>
      </c>
      <c r="B81" s="17" t="str">
        <f>'1st Innings'!B81</f>
        <v>Sameem</v>
      </c>
      <c r="C81" s="17" t="str">
        <f>'1st Innings'!C81</f>
        <v>Sankar Velayudham</v>
      </c>
      <c r="D81" s="17" t="str">
        <f>'1st Innings'!D81</f>
        <v>Sam Mabey</v>
      </c>
      <c r="E81" s="17" t="str">
        <f>'1st Innings'!E81</f>
        <v>Vinod Verghese</v>
      </c>
      <c r="F81" s="17" t="str">
        <f>'1st Innings'!F81</f>
        <v>Sameem Khan</v>
      </c>
      <c r="G81" s="17">
        <f>'1st Innings'!G81</f>
        <v>0</v>
      </c>
      <c r="H81" s="17">
        <f>'1st Innings'!H81</f>
        <v>0</v>
      </c>
      <c r="I81" s="17" t="str">
        <f>'1st Innings'!I81</f>
        <v>Prem Subramanian</v>
      </c>
      <c r="J81" s="17">
        <f>'1st Innings'!J81</f>
        <v>0</v>
      </c>
      <c r="K81" s="17" t="str">
        <f>'1st Innings'!K81</f>
        <v>Morgan McKellar</v>
      </c>
      <c r="L81" s="17" t="str">
        <f>'1st Innings'!L81</f>
        <v>Widi Abdurahman Hamid</v>
      </c>
      <c r="M81" s="17">
        <f>'1st Innings'!M81</f>
        <v>0</v>
      </c>
      <c r="N81" s="17" t="str">
        <f>'1st Innings'!N81</f>
        <v>Samir Sharma</v>
      </c>
      <c r="O81" s="17" t="str">
        <f>'1st Innings'!O81</f>
        <v>Susil Khanna</v>
      </c>
      <c r="P81" s="17" t="str">
        <f>'1st Innings'!P81</f>
        <v>Saini Sumit</v>
      </c>
      <c r="Q81" s="54"/>
      <c r="S81" s="3"/>
      <c r="T81" s="3"/>
      <c r="U81" s="56"/>
      <c r="V81" s="3"/>
      <c r="W81" s="56"/>
      <c r="X81" s="56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</row>
    <row r="82" spans="1:66" x14ac:dyDescent="0.25">
      <c r="A82" s="17" t="str">
        <f>'1st Innings'!A82</f>
        <v>Sultan Saleh Uddin Moon</v>
      </c>
      <c r="B82" s="17" t="str">
        <f>'1st Innings'!B82</f>
        <v>TIMOTHY PUSHPAKUMARA</v>
      </c>
      <c r="C82" s="17" t="str">
        <f>'1st Innings'!C82</f>
        <v>Sathyanarayana Mendarkar</v>
      </c>
      <c r="D82" s="17" t="str">
        <f>'1st Innings'!D82</f>
        <v>Sam Mirza</v>
      </c>
      <c r="E82" s="17" t="str">
        <f>'1st Innings'!E82</f>
        <v>Vishnu Kumar</v>
      </c>
      <c r="F82" s="17" t="str">
        <f>'1st Innings'!F82</f>
        <v>Shekhar Saraf</v>
      </c>
      <c r="G82" s="17">
        <f>'1st Innings'!G82</f>
        <v>0</v>
      </c>
      <c r="H82" s="17">
        <f>'1st Innings'!H82</f>
        <v>0</v>
      </c>
      <c r="I82" s="17" t="str">
        <f>'1st Innings'!I82</f>
        <v>Puneet Khurana</v>
      </c>
      <c r="J82" s="17">
        <f>'1st Innings'!J82</f>
        <v>0</v>
      </c>
      <c r="K82" s="17" t="str">
        <f>'1st Innings'!K82</f>
        <v>Nikhilesh</v>
      </c>
      <c r="L82" s="17" t="str">
        <f>'1st Innings'!L82</f>
        <v>Yeri Rosongna</v>
      </c>
      <c r="M82" s="17">
        <f>'1st Innings'!M82</f>
        <v>0</v>
      </c>
      <c r="N82" s="17" t="str">
        <f>'1st Innings'!N82</f>
        <v>Sandeep Gaikwad</v>
      </c>
      <c r="O82" s="17" t="str">
        <f>'1st Innings'!O82</f>
        <v>Swaroop Chavan J</v>
      </c>
      <c r="P82" s="17" t="str">
        <f>'1st Innings'!P82</f>
        <v>Shivanand Daddimani</v>
      </c>
      <c r="Q82" s="54"/>
      <c r="S82" s="3"/>
      <c r="T82" s="3"/>
      <c r="U82" s="56"/>
      <c r="V82" s="3"/>
      <c r="W82" s="56"/>
      <c r="X82" s="56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</row>
    <row r="83" spans="1:66" x14ac:dyDescent="0.25">
      <c r="A83" s="17" t="str">
        <f>'1st Innings'!A83</f>
        <v>Surendran Chandramohan</v>
      </c>
      <c r="B83" s="17" t="str">
        <f>'1st Innings'!B83</f>
        <v>Usman Afridi</v>
      </c>
      <c r="C83" s="17" t="str">
        <f>'1st Innings'!C83</f>
        <v>Shashank Arora</v>
      </c>
      <c r="D83" s="17" t="str">
        <f>'1st Innings'!D83</f>
        <v>Scott Masson</v>
      </c>
      <c r="E83" s="17" t="str">
        <f>'1st Innings'!E83</f>
        <v>Vishwajit Tripathi</v>
      </c>
      <c r="F83" s="17" t="str">
        <f>'1st Innings'!F83</f>
        <v>Subhash Mogdil</v>
      </c>
      <c r="G83" s="17">
        <f>'1st Innings'!G83</f>
        <v>0</v>
      </c>
      <c r="H83" s="17">
        <f>'1st Innings'!H83</f>
        <v>0</v>
      </c>
      <c r="I83" s="17" t="str">
        <f>'1st Innings'!I83</f>
        <v>Raj Kapadia</v>
      </c>
      <c r="J83" s="17">
        <f>'1st Innings'!J83</f>
        <v>0</v>
      </c>
      <c r="K83" s="17" t="str">
        <f>'1st Innings'!K83</f>
        <v>OP Rajesh</v>
      </c>
      <c r="L83" s="17">
        <f>'1st Innings'!L83</f>
        <v>0</v>
      </c>
      <c r="M83" s="17">
        <f>'1st Innings'!M83</f>
        <v>0</v>
      </c>
      <c r="N83" s="17" t="str">
        <f>'1st Innings'!N83</f>
        <v>Sanjeev Modi</v>
      </c>
      <c r="O83" s="17" t="str">
        <f>'1st Innings'!O83</f>
        <v>Vijay Srinivasan</v>
      </c>
      <c r="P83" s="17" t="str">
        <f>'1st Innings'!P83</f>
        <v>Sridhar Sasikumar</v>
      </c>
      <c r="Q83" s="54"/>
      <c r="S83" s="3"/>
      <c r="T83" s="3"/>
      <c r="U83" s="56"/>
      <c r="V83" s="3"/>
      <c r="W83" s="56"/>
      <c r="X83" s="56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66" x14ac:dyDescent="0.25">
      <c r="A84" s="17" t="str">
        <f>'1st Innings'!A84</f>
        <v>TIM WATSON</v>
      </c>
      <c r="B84" s="17" t="str">
        <f>'1st Innings'!B84</f>
        <v>VINEET PRASANI</v>
      </c>
      <c r="C84" s="17" t="str">
        <f>'1st Innings'!C84</f>
        <v>Shivansh Jain</v>
      </c>
      <c r="D84" s="17" t="str">
        <f>'1st Innings'!D84</f>
        <v>Sean Hankin</v>
      </c>
      <c r="E84" s="17">
        <f>'1st Innings'!E84</f>
        <v>0</v>
      </c>
      <c r="F84" s="17" t="str">
        <f>'1st Innings'!F84</f>
        <v>Sushant Gambhir</v>
      </c>
      <c r="G84" s="17">
        <f>'1st Innings'!G84</f>
        <v>0</v>
      </c>
      <c r="H84" s="17">
        <f>'1st Innings'!H84</f>
        <v>0</v>
      </c>
      <c r="I84" s="17" t="str">
        <f>'1st Innings'!I84</f>
        <v>Rajiv Ramnarayan</v>
      </c>
      <c r="J84" s="17">
        <f>'1st Innings'!J84</f>
        <v>0</v>
      </c>
      <c r="K84" s="17" t="str">
        <f>'1st Innings'!K84</f>
        <v>Peter Boyd</v>
      </c>
      <c r="L84" s="17">
        <f>'1st Innings'!L84</f>
        <v>0</v>
      </c>
      <c r="M84" s="17">
        <f>'1st Innings'!M84</f>
        <v>0</v>
      </c>
      <c r="N84" s="17" t="str">
        <f>'1st Innings'!N84</f>
        <v>Satish Pansare</v>
      </c>
      <c r="O84" s="17" t="str">
        <f>'1st Innings'!O84</f>
        <v>Viplow Singh</v>
      </c>
      <c r="P84" s="17" t="str">
        <f>'1st Innings'!P84</f>
        <v>Suheal Ahmed Jaffery Kiranam</v>
      </c>
      <c r="Q84" s="54"/>
      <c r="S84" s="3"/>
      <c r="T84" s="3"/>
      <c r="U84" s="56"/>
      <c r="V84" s="3"/>
      <c r="W84" s="56"/>
      <c r="X84" s="56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</row>
    <row r="85" spans="1:66" x14ac:dyDescent="0.25">
      <c r="A85" s="17" t="str">
        <f>'1st Innings'!A85</f>
        <v>TOBY NUGENT</v>
      </c>
      <c r="B85" s="17">
        <f>'1st Innings'!B85</f>
        <v>0</v>
      </c>
      <c r="C85" s="17" t="str">
        <f>'1st Innings'!C85</f>
        <v>Sujay Kumar Saha</v>
      </c>
      <c r="D85" s="17" t="str">
        <f>'1st Innings'!D85</f>
        <v>Steve Cheshire</v>
      </c>
      <c r="E85" s="17">
        <f>'1st Innings'!E85</f>
        <v>0</v>
      </c>
      <c r="F85" s="17" t="str">
        <f>'1st Innings'!F85</f>
        <v>Taimur Khan</v>
      </c>
      <c r="G85" s="17">
        <f>'1st Innings'!G85</f>
        <v>0</v>
      </c>
      <c r="H85" s="17">
        <f>'1st Innings'!H85</f>
        <v>0</v>
      </c>
      <c r="I85" s="17" t="str">
        <f>'1st Innings'!I85</f>
        <v>Sandesh Pawar</v>
      </c>
      <c r="J85" s="17">
        <f>'1st Innings'!J85</f>
        <v>0</v>
      </c>
      <c r="K85" s="17" t="str">
        <f>'1st Innings'!K85</f>
        <v>Peter Johnson</v>
      </c>
      <c r="L85" s="17">
        <f>'1st Innings'!L85</f>
        <v>0</v>
      </c>
      <c r="M85" s="17">
        <f>'1st Innings'!M85</f>
        <v>0</v>
      </c>
      <c r="N85" s="17" t="str">
        <f>'1st Innings'!N85</f>
        <v>Satish Rani</v>
      </c>
      <c r="O85" s="17" t="str">
        <f>'1st Innings'!O85</f>
        <v>Vishal Garg</v>
      </c>
      <c r="P85" s="17" t="str">
        <f>'1st Innings'!P85</f>
        <v>Uttam Singh Gyan Singh</v>
      </c>
      <c r="Q85" s="54"/>
      <c r="S85" s="3"/>
      <c r="T85" s="3"/>
      <c r="U85" s="56"/>
      <c r="V85" s="3"/>
      <c r="W85" s="56"/>
      <c r="X85" s="56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</row>
    <row r="86" spans="1:66" x14ac:dyDescent="0.25">
      <c r="A86" s="17" t="str">
        <f>'1st Innings'!A86</f>
        <v>VIRAJ BHAMMAR</v>
      </c>
      <c r="B86" s="17">
        <f>'1st Innings'!B86</f>
        <v>0</v>
      </c>
      <c r="C86" s="17" t="str">
        <f>'1st Innings'!C86</f>
        <v>Syed Hameed</v>
      </c>
      <c r="D86" s="17" t="str">
        <f>'1st Innings'!D86</f>
        <v>Tim Gutsell</v>
      </c>
      <c r="E86" s="17">
        <f>'1st Innings'!E86</f>
        <v>0</v>
      </c>
      <c r="F86" s="17" t="str">
        <f>'1st Innings'!F86</f>
        <v>Vignesh Mahadevan</v>
      </c>
      <c r="G86" s="17">
        <f>'1st Innings'!G86</f>
        <v>0</v>
      </c>
      <c r="H86" s="17">
        <f>'1st Innings'!H86</f>
        <v>0</v>
      </c>
      <c r="I86" s="17" t="str">
        <f>'1st Innings'!I86</f>
        <v>Saqib Khan</v>
      </c>
      <c r="J86" s="17">
        <f>'1st Innings'!J86</f>
        <v>0</v>
      </c>
      <c r="K86" s="17" t="str">
        <f>'1st Innings'!K86</f>
        <v>Peter Wallace</v>
      </c>
      <c r="L86" s="17">
        <f>'1st Innings'!L86</f>
        <v>0</v>
      </c>
      <c r="M86" s="17">
        <f>'1st Innings'!M86</f>
        <v>0</v>
      </c>
      <c r="N86" s="17" t="str">
        <f>'1st Innings'!N86</f>
        <v>Shankar CS</v>
      </c>
      <c r="O86" s="17">
        <f>'1st Innings'!O86</f>
        <v>0</v>
      </c>
      <c r="P86" s="17" t="str">
        <f>'1st Innings'!P86</f>
        <v>Vijay Kumar</v>
      </c>
      <c r="Q86" s="54"/>
      <c r="S86" s="3"/>
      <c r="T86" s="3"/>
      <c r="U86" s="56"/>
      <c r="V86" s="3"/>
      <c r="W86" s="56"/>
      <c r="X86" s="56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</row>
    <row r="87" spans="1:66" x14ac:dyDescent="0.25">
      <c r="A87" s="17" t="str">
        <f>'1st Innings'!A87</f>
        <v>WILFRED SCHULTZ</v>
      </c>
      <c r="B87" s="17">
        <f>'1st Innings'!B87</f>
        <v>0</v>
      </c>
      <c r="C87" s="17" t="str">
        <f>'1st Innings'!C87</f>
        <v>Tanmay Patel</v>
      </c>
      <c r="D87" s="17">
        <f>'1st Innings'!D87</f>
        <v>0</v>
      </c>
      <c r="E87" s="17">
        <f>'1st Innings'!E87</f>
        <v>0</v>
      </c>
      <c r="F87" s="17" t="str">
        <f>'1st Innings'!F87</f>
        <v>Yashpal Rathor</v>
      </c>
      <c r="G87" s="17">
        <f>'1st Innings'!G87</f>
        <v>0</v>
      </c>
      <c r="H87" s="17">
        <f>'1st Innings'!H87</f>
        <v>0</v>
      </c>
      <c r="I87" s="17" t="str">
        <f>'1st Innings'!I87</f>
        <v>Shubho Sarkar</v>
      </c>
      <c r="J87" s="17">
        <f>'1st Innings'!J87</f>
        <v>0</v>
      </c>
      <c r="K87" s="17" t="str">
        <f>'1st Innings'!K87</f>
        <v xml:space="preserve">Phil Reid </v>
      </c>
      <c r="L87" s="17">
        <f>'1st Innings'!L87</f>
        <v>0</v>
      </c>
      <c r="M87" s="17">
        <f>'1st Innings'!M87</f>
        <v>0</v>
      </c>
      <c r="N87" s="17" t="str">
        <f>'1st Innings'!N87</f>
        <v>Shivaz Monga</v>
      </c>
      <c r="O87" s="17">
        <f>'1st Innings'!O87</f>
        <v>0</v>
      </c>
      <c r="P87" s="17" t="str">
        <f>'1st Innings'!P87</f>
        <v>Yashpal Rathore</v>
      </c>
      <c r="Q87" s="54"/>
      <c r="S87" s="3"/>
      <c r="T87" s="3"/>
      <c r="U87" s="56"/>
      <c r="V87" s="56"/>
      <c r="W87" s="56"/>
      <c r="X87" s="56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</row>
    <row r="88" spans="1:66" x14ac:dyDescent="0.25">
      <c r="A88" s="17" t="str">
        <f>'1st Innings'!A88</f>
        <v>WILLIAM NORONHA</v>
      </c>
      <c r="B88" s="17">
        <f>'1st Innings'!B88</f>
        <v>0</v>
      </c>
      <c r="C88" s="17" t="str">
        <f>'1st Innings'!C88</f>
        <v>Vijay Krishnan</v>
      </c>
      <c r="D88" s="17">
        <f>'1st Innings'!D88</f>
        <v>0</v>
      </c>
      <c r="E88" s="17">
        <f>'1st Innings'!E88</f>
        <v>0</v>
      </c>
      <c r="F88" s="17">
        <f>'1st Innings'!F88</f>
        <v>0</v>
      </c>
      <c r="G88" s="17">
        <f>'1st Innings'!G88</f>
        <v>0</v>
      </c>
      <c r="H88" s="17">
        <f>'1st Innings'!H88</f>
        <v>0</v>
      </c>
      <c r="I88" s="17" t="str">
        <f>'1st Innings'!I88</f>
        <v>Shubhraneel Mitra</v>
      </c>
      <c r="J88" s="17">
        <f>'1st Innings'!J88</f>
        <v>0</v>
      </c>
      <c r="K88" s="17" t="str">
        <f>'1st Innings'!K88</f>
        <v>Robert Baldwin</v>
      </c>
      <c r="L88" s="17">
        <f>'1st Innings'!L88</f>
        <v>0</v>
      </c>
      <c r="M88" s="17">
        <f>'1st Innings'!M88</f>
        <v>0</v>
      </c>
      <c r="N88" s="17" t="str">
        <f>'1st Innings'!N88</f>
        <v>Shobit Tandon</v>
      </c>
      <c r="O88" s="17">
        <f>'1st Innings'!O88</f>
        <v>0</v>
      </c>
      <c r="P88" s="17">
        <f>'1st Innings'!P88</f>
        <v>0</v>
      </c>
      <c r="Q88" s="54"/>
      <c r="S88" s="3"/>
      <c r="T88" s="3"/>
      <c r="U88" s="56"/>
      <c r="V88" s="3"/>
      <c r="W88" s="56"/>
      <c r="X88" s="56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</row>
    <row r="89" spans="1:66" x14ac:dyDescent="0.25">
      <c r="A89" s="17" t="str">
        <f>'1st Innings'!A89</f>
        <v>ZACARIAH CUTCLIFFE</v>
      </c>
      <c r="B89" s="17">
        <f>'1st Innings'!B89</f>
        <v>0</v>
      </c>
      <c r="C89" s="17" t="str">
        <f>'1st Innings'!C89</f>
        <v>Vijaya Varma Sayyaparaju</v>
      </c>
      <c r="D89" s="17">
        <f>'1st Innings'!D89</f>
        <v>0</v>
      </c>
      <c r="E89" s="17">
        <f>'1st Innings'!E89</f>
        <v>0</v>
      </c>
      <c r="F89" s="17">
        <f>'1st Innings'!F89</f>
        <v>0</v>
      </c>
      <c r="G89" s="17">
        <f>'1st Innings'!G89</f>
        <v>0</v>
      </c>
      <c r="H89" s="17">
        <f>'1st Innings'!H89</f>
        <v>0</v>
      </c>
      <c r="I89" s="17" t="str">
        <f>'1st Innings'!I89</f>
        <v>Soni Hawoe</v>
      </c>
      <c r="J89" s="17">
        <f>'1st Innings'!J89</f>
        <v>0</v>
      </c>
      <c r="K89" s="17" t="str">
        <f>'1st Innings'!K89</f>
        <v>Rohit Nair</v>
      </c>
      <c r="L89" s="17">
        <f>'1st Innings'!L89</f>
        <v>0</v>
      </c>
      <c r="M89" s="17">
        <f>'1st Innings'!M89</f>
        <v>0</v>
      </c>
      <c r="N89" s="17" t="str">
        <f>'1st Innings'!N89</f>
        <v>Vijay Kumar S</v>
      </c>
      <c r="O89" s="17">
        <f>'1st Innings'!O89</f>
        <v>0</v>
      </c>
      <c r="P89" s="17">
        <f>'1st Innings'!P89</f>
        <v>0</v>
      </c>
      <c r="Q89" s="54"/>
      <c r="R89" s="3"/>
      <c r="S89" s="3"/>
      <c r="T89" s="3"/>
      <c r="U89" s="56"/>
      <c r="V89" s="3"/>
      <c r="W89" s="56"/>
      <c r="X89" s="56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</row>
    <row r="90" spans="1:66" x14ac:dyDescent="0.25">
      <c r="A90" s="17" t="str">
        <f>'1st Innings'!A90</f>
        <v>Zulki Hamid</v>
      </c>
      <c r="B90" s="17">
        <f>'1st Innings'!B90</f>
        <v>0</v>
      </c>
      <c r="C90" s="17" t="str">
        <f>'1st Innings'!C90</f>
        <v>Vinod Bisht</v>
      </c>
      <c r="D90" s="17">
        <f>'1st Innings'!D90</f>
        <v>0</v>
      </c>
      <c r="E90" s="17">
        <f>'1st Innings'!E90</f>
        <v>0</v>
      </c>
      <c r="F90" s="17">
        <f>'1st Innings'!F90</f>
        <v>0</v>
      </c>
      <c r="G90" s="17">
        <f>'1st Innings'!G90</f>
        <v>0</v>
      </c>
      <c r="H90" s="17">
        <f>'1st Innings'!H90</f>
        <v>0</v>
      </c>
      <c r="I90" s="17" t="str">
        <f>'1st Innings'!I90</f>
        <v>Sucheet Parikh</v>
      </c>
      <c r="J90" s="17">
        <f>'1st Innings'!J90</f>
        <v>0</v>
      </c>
      <c r="K90" s="17" t="str">
        <f>'1st Innings'!K90</f>
        <v>Romesh Paul</v>
      </c>
      <c r="L90" s="17">
        <f>'1st Innings'!L90</f>
        <v>0</v>
      </c>
      <c r="M90" s="17">
        <f>'1st Innings'!M90</f>
        <v>0</v>
      </c>
      <c r="N90" s="17" t="str">
        <f>'1st Innings'!N90</f>
        <v>Vikas Gupta</v>
      </c>
      <c r="O90" s="17">
        <f>'1st Innings'!O90</f>
        <v>0</v>
      </c>
      <c r="P90" s="17">
        <f>'1st Innings'!P90</f>
        <v>0</v>
      </c>
      <c r="Q90" s="54"/>
      <c r="R90" s="3"/>
      <c r="S90" s="3"/>
      <c r="T90" s="3"/>
      <c r="U90" s="56"/>
      <c r="V90" s="3"/>
      <c r="W90" s="56"/>
      <c r="X90" s="56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</row>
    <row r="91" spans="1:66" x14ac:dyDescent="0.25">
      <c r="A91" s="17">
        <f>'1st Innings'!A91</f>
        <v>0</v>
      </c>
      <c r="B91" s="17">
        <f>'1st Innings'!B91</f>
        <v>0</v>
      </c>
      <c r="C91" s="17" t="str">
        <f>'1st Innings'!C91</f>
        <v>Vivek Shetty</v>
      </c>
      <c r="D91" s="17">
        <f>'1st Innings'!D91</f>
        <v>0</v>
      </c>
      <c r="E91" s="17">
        <f>'1st Innings'!E91</f>
        <v>0</v>
      </c>
      <c r="F91" s="17">
        <f>'1st Innings'!F91</f>
        <v>0</v>
      </c>
      <c r="G91" s="17">
        <f>'1st Innings'!G91</f>
        <v>0</v>
      </c>
      <c r="H91" s="17">
        <f>'1st Innings'!H91</f>
        <v>0</v>
      </c>
      <c r="I91" s="17">
        <f>'1st Innings'!I91</f>
        <v>0</v>
      </c>
      <c r="J91" s="17">
        <f>'1st Innings'!J91</f>
        <v>0</v>
      </c>
      <c r="K91" s="17" t="str">
        <f>'1st Innings'!K91</f>
        <v>Sam Levick</v>
      </c>
      <c r="L91" s="17">
        <f>'1st Innings'!L91</f>
        <v>0</v>
      </c>
      <c r="M91" s="17">
        <f>'1st Innings'!M91</f>
        <v>0</v>
      </c>
      <c r="N91" s="17" t="str">
        <f>'1st Innings'!N91</f>
        <v>Vinod Myakkam</v>
      </c>
      <c r="O91" s="17">
        <f>'1st Innings'!O91</f>
        <v>0</v>
      </c>
      <c r="P91" s="17">
        <f>'1st Innings'!P91</f>
        <v>0</v>
      </c>
      <c r="Q91" s="54"/>
      <c r="R91" s="3"/>
      <c r="S91" s="3"/>
      <c r="T91" s="3"/>
      <c r="U91" s="56"/>
      <c r="V91" s="3"/>
      <c r="W91" s="56"/>
      <c r="X91" s="56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</row>
    <row r="92" spans="1:66" x14ac:dyDescent="0.25">
      <c r="A92" s="17">
        <f>'1st Innings'!A92</f>
        <v>0</v>
      </c>
      <c r="B92" s="17">
        <f>'1st Innings'!B92</f>
        <v>0</v>
      </c>
      <c r="C92" s="17" t="str">
        <f>'1st Innings'!C92</f>
        <v>Vivek Tripathi</v>
      </c>
      <c r="D92" s="17">
        <f>'1st Innings'!D92</f>
        <v>0</v>
      </c>
      <c r="E92" s="17">
        <f>'1st Innings'!E92</f>
        <v>0</v>
      </c>
      <c r="F92" s="17">
        <f>'1st Innings'!F92</f>
        <v>0</v>
      </c>
      <c r="G92" s="17">
        <f>'1st Innings'!G92</f>
        <v>0</v>
      </c>
      <c r="H92" s="17">
        <f>'1st Innings'!H92</f>
        <v>0</v>
      </c>
      <c r="I92" s="17">
        <f>'1st Innings'!I92</f>
        <v>0</v>
      </c>
      <c r="J92" s="17">
        <f>'1st Innings'!J92</f>
        <v>0</v>
      </c>
      <c r="K92" s="17" t="str">
        <f>'1st Innings'!K92</f>
        <v xml:space="preserve">Simon Williams </v>
      </c>
      <c r="L92" s="17">
        <f>'1st Innings'!L92</f>
        <v>0</v>
      </c>
      <c r="M92" s="17">
        <f>'1st Innings'!M92</f>
        <v>0</v>
      </c>
      <c r="N92" s="17" t="str">
        <f>'1st Innings'!N92</f>
        <v>Vishav Sharma</v>
      </c>
      <c r="O92" s="17">
        <f>'1st Innings'!O92</f>
        <v>0</v>
      </c>
      <c r="P92" s="17">
        <f>'1st Innings'!P92</f>
        <v>0</v>
      </c>
      <c r="Q92" s="54"/>
      <c r="R92" s="3"/>
      <c r="S92" s="3"/>
      <c r="T92" s="3"/>
      <c r="U92" s="56"/>
      <c r="V92" s="3"/>
      <c r="W92" s="56"/>
      <c r="X92" s="56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</row>
    <row r="93" spans="1:66" x14ac:dyDescent="0.25">
      <c r="A93" s="17">
        <f>'1st Innings'!A93</f>
        <v>0</v>
      </c>
      <c r="B93" s="17">
        <f>'1st Innings'!B93</f>
        <v>0</v>
      </c>
      <c r="C93" s="17">
        <f>'1st Innings'!C93</f>
        <v>0</v>
      </c>
      <c r="D93" s="17">
        <f>'1st Innings'!D93</f>
        <v>0</v>
      </c>
      <c r="E93" s="17">
        <f>'1st Innings'!E93</f>
        <v>0</v>
      </c>
      <c r="F93" s="17">
        <f>'1st Innings'!F93</f>
        <v>0</v>
      </c>
      <c r="G93" s="17">
        <f>'1st Innings'!G93</f>
        <v>0</v>
      </c>
      <c r="H93" s="17">
        <f>'1st Innings'!H93</f>
        <v>0</v>
      </c>
      <c r="I93" s="17">
        <f>'1st Innings'!I93</f>
        <v>0</v>
      </c>
      <c r="J93" s="17">
        <f>'1st Innings'!J93</f>
        <v>0</v>
      </c>
      <c r="K93" s="17" t="str">
        <f>'1st Innings'!K93</f>
        <v>Sivarama Yegnaraman</v>
      </c>
      <c r="L93" s="17">
        <f>'1st Innings'!L93</f>
        <v>0</v>
      </c>
      <c r="M93" s="17">
        <f>'1st Innings'!M93</f>
        <v>0</v>
      </c>
      <c r="N93" s="17" t="str">
        <f>'1st Innings'!N93</f>
        <v>Yogish Lad</v>
      </c>
      <c r="O93" s="17">
        <f>'1st Innings'!O93</f>
        <v>0</v>
      </c>
      <c r="P93" s="17">
        <f>'1st Innings'!P93</f>
        <v>0</v>
      </c>
      <c r="Q93" s="54"/>
      <c r="R93" s="3"/>
      <c r="S93" s="3"/>
      <c r="T93" s="3"/>
      <c r="U93" s="56"/>
      <c r="V93" s="3"/>
      <c r="W93" s="56"/>
      <c r="X93" s="56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</row>
    <row r="94" spans="1:66" x14ac:dyDescent="0.25">
      <c r="A94" s="17">
        <f>'1st Innings'!A94</f>
        <v>0</v>
      </c>
      <c r="B94" s="17">
        <f>'1st Innings'!B94</f>
        <v>0</v>
      </c>
      <c r="C94" s="17">
        <f>'1st Innings'!C94</f>
        <v>0</v>
      </c>
      <c r="D94" s="17">
        <f>'1st Innings'!D94</f>
        <v>0</v>
      </c>
      <c r="E94" s="17">
        <f>'1st Innings'!E94</f>
        <v>0</v>
      </c>
      <c r="F94" s="17">
        <f>'1st Innings'!F94</f>
        <v>0</v>
      </c>
      <c r="G94" s="17">
        <f>'1st Innings'!G94</f>
        <v>0</v>
      </c>
      <c r="H94" s="17">
        <f>'1st Innings'!H94</f>
        <v>0</v>
      </c>
      <c r="I94" s="17">
        <f>'1st Innings'!I94</f>
        <v>0</v>
      </c>
      <c r="J94" s="17">
        <f>'1st Innings'!J94</f>
        <v>0</v>
      </c>
      <c r="K94" s="17" t="str">
        <f>'1st Innings'!K94</f>
        <v>Stephen Barber</v>
      </c>
      <c r="L94" s="17">
        <f>'1st Innings'!L94</f>
        <v>0</v>
      </c>
      <c r="M94" s="17">
        <f>'1st Innings'!M94</f>
        <v>0</v>
      </c>
      <c r="N94" s="17">
        <f>'1st Innings'!N94</f>
        <v>0</v>
      </c>
      <c r="O94" s="17">
        <f>'1st Innings'!O94</f>
        <v>0</v>
      </c>
      <c r="P94" s="17">
        <f>'1st Innings'!P94</f>
        <v>0</v>
      </c>
      <c r="Q94" s="54"/>
      <c r="R94" s="3"/>
      <c r="S94" s="3"/>
      <c r="T94" s="3"/>
      <c r="U94" s="56"/>
      <c r="V94" s="56"/>
      <c r="W94" s="56"/>
      <c r="X94" s="56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</row>
    <row r="95" spans="1:66" x14ac:dyDescent="0.25">
      <c r="A95" s="17">
        <f>'1st Innings'!A95</f>
        <v>0</v>
      </c>
      <c r="B95" s="17">
        <f>'1st Innings'!B95</f>
        <v>0</v>
      </c>
      <c r="C95" s="17">
        <f>'1st Innings'!C95</f>
        <v>0</v>
      </c>
      <c r="D95" s="17">
        <f>'1st Innings'!D95</f>
        <v>0</v>
      </c>
      <c r="E95" s="17">
        <f>'1st Innings'!E95</f>
        <v>0</v>
      </c>
      <c r="F95" s="17">
        <f>'1st Innings'!F95</f>
        <v>0</v>
      </c>
      <c r="G95" s="17">
        <f>'1st Innings'!G95</f>
        <v>0</v>
      </c>
      <c r="H95" s="17">
        <f>'1st Innings'!H95</f>
        <v>0</v>
      </c>
      <c r="I95" s="17">
        <f>'1st Innings'!I95</f>
        <v>0</v>
      </c>
      <c r="J95" s="17">
        <f>'1st Innings'!J95</f>
        <v>0</v>
      </c>
      <c r="K95" s="17" t="str">
        <f>'1st Innings'!K95</f>
        <v>Steve Barraclough</v>
      </c>
      <c r="L95" s="17">
        <f>'1st Innings'!L95</f>
        <v>0</v>
      </c>
      <c r="M95" s="17">
        <f>'1st Innings'!M95</f>
        <v>0</v>
      </c>
      <c r="N95" s="17">
        <f>'1st Innings'!N95</f>
        <v>0</v>
      </c>
      <c r="O95" s="17">
        <f>'1st Innings'!O95</f>
        <v>0</v>
      </c>
      <c r="P95" s="17">
        <f>'1st Innings'!P95</f>
        <v>0</v>
      </c>
      <c r="Q95" s="54"/>
      <c r="R95" s="3"/>
      <c r="W95" s="56"/>
      <c r="X95" s="56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</row>
    <row r="96" spans="1:66" x14ac:dyDescent="0.25">
      <c r="A96" s="17">
        <f>'1st Innings'!A96</f>
        <v>0</v>
      </c>
      <c r="B96" s="17">
        <f>'1st Innings'!B96</f>
        <v>0</v>
      </c>
      <c r="C96" s="17">
        <f>'1st Innings'!C96</f>
        <v>0</v>
      </c>
      <c r="D96" s="17">
        <f>'1st Innings'!D96</f>
        <v>0</v>
      </c>
      <c r="E96" s="17">
        <f>'1st Innings'!E96</f>
        <v>0</v>
      </c>
      <c r="F96" s="17">
        <f>'1st Innings'!F96</f>
        <v>0</v>
      </c>
      <c r="G96" s="17">
        <f>'1st Innings'!G96</f>
        <v>0</v>
      </c>
      <c r="H96" s="17">
        <f>'1st Innings'!H96</f>
        <v>0</v>
      </c>
      <c r="I96" s="17">
        <f>'1st Innings'!I96</f>
        <v>0</v>
      </c>
      <c r="J96" s="17">
        <f>'1st Innings'!J96</f>
        <v>0</v>
      </c>
      <c r="K96" s="17" t="str">
        <f>'1st Innings'!K96</f>
        <v>Steven Nealon</v>
      </c>
      <c r="L96" s="17">
        <f>'1st Innings'!L96</f>
        <v>0</v>
      </c>
      <c r="M96" s="17">
        <f>'1st Innings'!M96</f>
        <v>0</v>
      </c>
      <c r="N96" s="17">
        <f>'1st Innings'!N96</f>
        <v>0</v>
      </c>
      <c r="O96" s="17">
        <f>'1st Innings'!O96</f>
        <v>0</v>
      </c>
      <c r="P96" s="17">
        <f>'1st Innings'!P96</f>
        <v>0</v>
      </c>
      <c r="Q96" s="54"/>
      <c r="R96" s="3"/>
      <c r="S96" s="3"/>
      <c r="T96" s="56"/>
      <c r="U96" s="3"/>
      <c r="V96" s="56"/>
      <c r="X96" s="56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</row>
    <row r="97" spans="1:69" x14ac:dyDescent="0.25">
      <c r="A97" s="17">
        <f>'1st Innings'!A97</f>
        <v>0</v>
      </c>
      <c r="B97" s="17">
        <f>'1st Innings'!B97</f>
        <v>0</v>
      </c>
      <c r="C97" s="17">
        <f>'1st Innings'!C97</f>
        <v>0</v>
      </c>
      <c r="D97" s="17">
        <f>'1st Innings'!D97</f>
        <v>0</v>
      </c>
      <c r="E97" s="17">
        <f>'1st Innings'!E97</f>
        <v>0</v>
      </c>
      <c r="F97" s="17">
        <f>'1st Innings'!F97</f>
        <v>0</v>
      </c>
      <c r="G97" s="17">
        <f>'1st Innings'!G97</f>
        <v>0</v>
      </c>
      <c r="H97" s="17">
        <f>'1st Innings'!H97</f>
        <v>0</v>
      </c>
      <c r="I97" s="17">
        <f>'1st Innings'!I97</f>
        <v>0</v>
      </c>
      <c r="J97" s="17">
        <f>'1st Innings'!J97</f>
        <v>0</v>
      </c>
      <c r="K97" s="17" t="str">
        <f>'1st Innings'!K97</f>
        <v xml:space="preserve">Stew Lyons </v>
      </c>
      <c r="L97" s="17">
        <f>'1st Innings'!L97</f>
        <v>0</v>
      </c>
      <c r="M97" s="17">
        <f>'1st Innings'!M97</f>
        <v>0</v>
      </c>
      <c r="N97" s="17">
        <f>'1st Innings'!N97</f>
        <v>0</v>
      </c>
      <c r="O97" s="17">
        <f>'1st Innings'!O97</f>
        <v>0</v>
      </c>
      <c r="P97" s="17">
        <f>'1st Innings'!P97</f>
        <v>0</v>
      </c>
      <c r="Q97" s="54"/>
      <c r="R97" s="3"/>
      <c r="S97" s="3"/>
      <c r="T97" s="56"/>
      <c r="U97" s="56"/>
      <c r="V97" s="56"/>
      <c r="W97" s="56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</row>
    <row r="98" spans="1:69" x14ac:dyDescent="0.25">
      <c r="A98" s="17">
        <f>'1st Innings'!A98</f>
        <v>0</v>
      </c>
      <c r="B98" s="17">
        <f>'1st Innings'!B98</f>
        <v>0</v>
      </c>
      <c r="C98" s="17">
        <f>'1st Innings'!C98</f>
        <v>0</v>
      </c>
      <c r="D98" s="17">
        <f>'1st Innings'!D98</f>
        <v>0</v>
      </c>
      <c r="E98" s="17">
        <f>'1st Innings'!E98</f>
        <v>0</v>
      </c>
      <c r="F98" s="17">
        <f>'1st Innings'!F98</f>
        <v>0</v>
      </c>
      <c r="G98" s="17">
        <f>'1st Innings'!G98</f>
        <v>0</v>
      </c>
      <c r="H98" s="17">
        <f>'1st Innings'!H98</f>
        <v>0</v>
      </c>
      <c r="I98" s="17">
        <f>'1st Innings'!I98</f>
        <v>0</v>
      </c>
      <c r="J98" s="17">
        <f>'1st Innings'!J98</f>
        <v>0</v>
      </c>
      <c r="K98" s="17" t="str">
        <f>'1st Innings'!K98</f>
        <v>Suresh Subramanian</v>
      </c>
      <c r="L98" s="17">
        <f>'1st Innings'!L98</f>
        <v>0</v>
      </c>
      <c r="M98" s="17">
        <f>'1st Innings'!M98</f>
        <v>0</v>
      </c>
      <c r="N98" s="17">
        <f>'1st Innings'!N98</f>
        <v>0</v>
      </c>
      <c r="O98" s="17">
        <f>'1st Innings'!O98</f>
        <v>0</v>
      </c>
      <c r="P98" s="17">
        <f>'1st Innings'!P98</f>
        <v>0</v>
      </c>
      <c r="Q98" s="54"/>
      <c r="R98" s="3"/>
      <c r="S98" s="3"/>
      <c r="T98" s="56"/>
      <c r="U98" s="3"/>
      <c r="V98" s="56"/>
      <c r="W98" s="56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</row>
    <row r="99" spans="1:69" x14ac:dyDescent="0.25">
      <c r="A99" s="17">
        <f>'1st Innings'!A99</f>
        <v>0</v>
      </c>
      <c r="B99" s="17">
        <f>'1st Innings'!B99</f>
        <v>0</v>
      </c>
      <c r="C99" s="17">
        <f>'1st Innings'!C99</f>
        <v>0</v>
      </c>
      <c r="D99" s="17">
        <f>'1st Innings'!D99</f>
        <v>0</v>
      </c>
      <c r="E99" s="17">
        <f>'1st Innings'!E99</f>
        <v>0</v>
      </c>
      <c r="F99" s="17">
        <f>'1st Innings'!F99</f>
        <v>0</v>
      </c>
      <c r="G99" s="17">
        <f>'1st Innings'!G99</f>
        <v>0</v>
      </c>
      <c r="H99" s="17">
        <f>'1st Innings'!H99</f>
        <v>0</v>
      </c>
      <c r="I99" s="17">
        <f>'1st Innings'!I99</f>
        <v>0</v>
      </c>
      <c r="J99" s="17">
        <f>'1st Innings'!J99</f>
        <v>0</v>
      </c>
      <c r="K99" s="17" t="str">
        <f>'1st Innings'!K99</f>
        <v>Tim Simpson</v>
      </c>
      <c r="L99" s="17">
        <f>'1st Innings'!L99</f>
        <v>0</v>
      </c>
      <c r="M99" s="17">
        <f>'1st Innings'!M99</f>
        <v>0</v>
      </c>
      <c r="N99" s="17">
        <f>'1st Innings'!N99</f>
        <v>0</v>
      </c>
      <c r="O99" s="17">
        <f>'1st Innings'!O99</f>
        <v>0</v>
      </c>
      <c r="P99" s="17">
        <f>'1st Innings'!P99</f>
        <v>0</v>
      </c>
      <c r="Q99" s="54"/>
      <c r="R99" s="3"/>
      <c r="S99" s="3"/>
      <c r="T99" s="56"/>
      <c r="U99" s="56"/>
      <c r="V99" s="56"/>
      <c r="W99" s="56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</row>
    <row r="100" spans="1:69" x14ac:dyDescent="0.25">
      <c r="A100" s="17">
        <f>'1st Innings'!A100</f>
        <v>0</v>
      </c>
      <c r="B100" s="17">
        <f>'1st Innings'!B100</f>
        <v>0</v>
      </c>
      <c r="C100" s="17">
        <f>'1st Innings'!C100</f>
        <v>0</v>
      </c>
      <c r="D100" s="17">
        <f>'1st Innings'!D100</f>
        <v>0</v>
      </c>
      <c r="E100" s="17">
        <f>'1st Innings'!E100</f>
        <v>0</v>
      </c>
      <c r="F100" s="17">
        <f>'1st Innings'!F100</f>
        <v>0</v>
      </c>
      <c r="G100" s="17">
        <f>'1st Innings'!G100</f>
        <v>0</v>
      </c>
      <c r="H100" s="17">
        <f>'1st Innings'!H100</f>
        <v>0</v>
      </c>
      <c r="I100" s="17">
        <f>'1st Innings'!I100</f>
        <v>0</v>
      </c>
      <c r="J100" s="17">
        <f>'1st Innings'!J100</f>
        <v>0</v>
      </c>
      <c r="K100" s="17" t="str">
        <f>'1st Innings'!K100</f>
        <v>Warwick Peters</v>
      </c>
      <c r="L100" s="17">
        <f>'1st Innings'!L100</f>
        <v>0</v>
      </c>
      <c r="M100" s="17">
        <f>'1st Innings'!M100</f>
        <v>0</v>
      </c>
      <c r="N100" s="17">
        <f>'1st Innings'!N100</f>
        <v>0</v>
      </c>
      <c r="O100" s="17">
        <f>'1st Innings'!O100</f>
        <v>0</v>
      </c>
      <c r="P100" s="17">
        <f>'1st Innings'!P100</f>
        <v>0</v>
      </c>
      <c r="Q100" s="54"/>
      <c r="R100" s="3"/>
      <c r="S100" s="3"/>
      <c r="T100" s="56"/>
      <c r="U100" s="3"/>
      <c r="V100" s="56"/>
      <c r="W100" s="56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</row>
    <row r="101" spans="1:69" x14ac:dyDescent="0.25">
      <c r="A101" s="17">
        <f>'1st Innings'!A101</f>
        <v>0</v>
      </c>
      <c r="B101" s="17">
        <f>'1st Innings'!B101</f>
        <v>0</v>
      </c>
      <c r="C101" s="17">
        <f>'1st Innings'!C101</f>
        <v>0</v>
      </c>
      <c r="D101" s="17">
        <f>'1st Innings'!D101</f>
        <v>0</v>
      </c>
      <c r="E101" s="17">
        <f>'1st Innings'!E101</f>
        <v>0</v>
      </c>
      <c r="F101" s="17">
        <f>'1st Innings'!F101</f>
        <v>0</v>
      </c>
      <c r="G101" s="17">
        <f>'1st Innings'!G101</f>
        <v>0</v>
      </c>
      <c r="H101" s="17">
        <f>'1st Innings'!H101</f>
        <v>0</v>
      </c>
      <c r="I101" s="17">
        <f>'1st Innings'!I101</f>
        <v>0</v>
      </c>
      <c r="J101" s="17">
        <f>'1st Innings'!J101</f>
        <v>0</v>
      </c>
      <c r="K101" s="17">
        <f>'1st Innings'!K101</f>
        <v>0</v>
      </c>
      <c r="L101" s="17">
        <f>'1st Innings'!L101</f>
        <v>0</v>
      </c>
      <c r="M101" s="17">
        <f>'1st Innings'!M101</f>
        <v>0</v>
      </c>
      <c r="N101" s="17">
        <f>'1st Innings'!N101</f>
        <v>0</v>
      </c>
      <c r="O101" s="17">
        <f>'1st Innings'!O101</f>
        <v>0</v>
      </c>
      <c r="P101" s="17">
        <f>'1st Innings'!P101</f>
        <v>0</v>
      </c>
      <c r="Q101" s="54"/>
      <c r="S101" s="3"/>
      <c r="T101" s="56"/>
      <c r="U101" s="3"/>
      <c r="V101" s="56"/>
      <c r="W101" s="56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</row>
    <row r="102" spans="1:69" x14ac:dyDescent="0.25">
      <c r="A102" s="17">
        <f>'1st Innings'!A102</f>
        <v>0</v>
      </c>
      <c r="B102" s="17">
        <f>'1st Innings'!B102</f>
        <v>0</v>
      </c>
      <c r="C102" s="17">
        <f>'1st Innings'!C102</f>
        <v>0</v>
      </c>
      <c r="D102" s="17">
        <f>'1st Innings'!D102</f>
        <v>0</v>
      </c>
      <c r="E102" s="17">
        <f>'1st Innings'!E102</f>
        <v>0</v>
      </c>
      <c r="F102" s="17">
        <f>'1st Innings'!F102</f>
        <v>0</v>
      </c>
      <c r="G102" s="17">
        <f>'1st Innings'!G102</f>
        <v>0</v>
      </c>
      <c r="H102" s="17">
        <f>'1st Innings'!H102</f>
        <v>0</v>
      </c>
      <c r="I102" s="17">
        <f>'1st Innings'!I102</f>
        <v>0</v>
      </c>
      <c r="J102" s="17">
        <f>'1st Innings'!J102</f>
        <v>0</v>
      </c>
      <c r="K102" s="17">
        <f>'1st Innings'!K102</f>
        <v>0</v>
      </c>
      <c r="L102" s="17">
        <f>'1st Innings'!L102</f>
        <v>0</v>
      </c>
      <c r="M102" s="17">
        <f>'1st Innings'!M102</f>
        <v>0</v>
      </c>
      <c r="N102" s="17">
        <f>'1st Innings'!N102</f>
        <v>0</v>
      </c>
      <c r="O102" s="17">
        <f>'1st Innings'!O102</f>
        <v>0</v>
      </c>
      <c r="P102" s="17">
        <f>'1st Innings'!P102</f>
        <v>0</v>
      </c>
      <c r="Q102" s="54"/>
      <c r="R102" s="57"/>
      <c r="S102" s="3"/>
      <c r="T102" s="56"/>
      <c r="U102" s="3"/>
      <c r="V102" s="56"/>
      <c r="W102" s="56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</row>
    <row r="103" spans="1:69" x14ac:dyDescent="0.25">
      <c r="A103" s="17">
        <f>'1st Innings'!A103</f>
        <v>0</v>
      </c>
      <c r="B103" s="17">
        <f>'1st Innings'!B103</f>
        <v>0</v>
      </c>
      <c r="C103" s="17">
        <f>'1st Innings'!C103</f>
        <v>0</v>
      </c>
      <c r="D103" s="17">
        <f>'1st Innings'!D103</f>
        <v>0</v>
      </c>
      <c r="E103" s="17">
        <f>'1st Innings'!E103</f>
        <v>0</v>
      </c>
      <c r="F103" s="17">
        <f>'1st Innings'!F103</f>
        <v>0</v>
      </c>
      <c r="G103" s="17">
        <f>'1st Innings'!G103</f>
        <v>0</v>
      </c>
      <c r="H103" s="17">
        <f>'1st Innings'!H103</f>
        <v>0</v>
      </c>
      <c r="I103" s="17">
        <f>'1st Innings'!I103</f>
        <v>0</v>
      </c>
      <c r="J103" s="17">
        <f>'1st Innings'!J103</f>
        <v>0</v>
      </c>
      <c r="K103" s="17">
        <f>'1st Innings'!K103</f>
        <v>0</v>
      </c>
      <c r="L103" s="17">
        <f>'1st Innings'!L103</f>
        <v>0</v>
      </c>
      <c r="M103" s="17">
        <f>'1st Innings'!M103</f>
        <v>0</v>
      </c>
      <c r="N103" s="17">
        <f>'1st Innings'!N103</f>
        <v>0</v>
      </c>
      <c r="O103" s="17">
        <f>'1st Innings'!O103</f>
        <v>0</v>
      </c>
      <c r="P103" s="17">
        <f>'1st Innings'!P103</f>
        <v>0</v>
      </c>
      <c r="Q103" s="54"/>
      <c r="R103" s="57"/>
      <c r="S103" s="3"/>
      <c r="T103" s="56"/>
      <c r="U103" s="3"/>
      <c r="V103" s="56"/>
      <c r="W103" s="56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</row>
    <row r="104" spans="1:69" x14ac:dyDescent="0.25">
      <c r="A104" s="17">
        <f>'1st Innings'!A104</f>
        <v>0</v>
      </c>
      <c r="B104" s="17">
        <f>'1st Innings'!B104</f>
        <v>0</v>
      </c>
      <c r="C104" s="17">
        <f>'1st Innings'!C104</f>
        <v>0</v>
      </c>
      <c r="D104" s="17">
        <f>'1st Innings'!D104</f>
        <v>0</v>
      </c>
      <c r="E104" s="17">
        <f>'1st Innings'!E104</f>
        <v>0</v>
      </c>
      <c r="F104" s="17">
        <f>'1st Innings'!F104</f>
        <v>0</v>
      </c>
      <c r="G104" s="17">
        <f>'1st Innings'!G104</f>
        <v>0</v>
      </c>
      <c r="H104" s="17">
        <f>'1st Innings'!H104</f>
        <v>0</v>
      </c>
      <c r="I104" s="17">
        <f>'1st Innings'!I104</f>
        <v>0</v>
      </c>
      <c r="J104" s="17">
        <f>'1st Innings'!J104</f>
        <v>0</v>
      </c>
      <c r="K104" s="17">
        <f>'1st Innings'!K104</f>
        <v>0</v>
      </c>
      <c r="L104" s="17">
        <f>'1st Innings'!L104</f>
        <v>0</v>
      </c>
      <c r="M104" s="17">
        <f>'1st Innings'!M104</f>
        <v>0</v>
      </c>
      <c r="N104" s="17">
        <f>'1st Innings'!N104</f>
        <v>0</v>
      </c>
      <c r="O104" s="17">
        <f>'1st Innings'!O104</f>
        <v>0</v>
      </c>
      <c r="P104" s="17">
        <f>'1st Innings'!P104</f>
        <v>0</v>
      </c>
      <c r="Q104" s="54"/>
      <c r="R104" s="57"/>
      <c r="S104" s="3"/>
      <c r="T104" s="56"/>
      <c r="U104" s="56"/>
      <c r="V104" s="56"/>
      <c r="W104" s="56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</row>
    <row r="105" spans="1:69" x14ac:dyDescent="0.25">
      <c r="A105" s="17">
        <f>'1st Innings'!A105</f>
        <v>0</v>
      </c>
      <c r="B105" s="17">
        <f>'1st Innings'!B105</f>
        <v>0</v>
      </c>
      <c r="C105" s="17">
        <f>'1st Innings'!C105</f>
        <v>0</v>
      </c>
      <c r="D105" s="17">
        <f>'1st Innings'!D105</f>
        <v>0</v>
      </c>
      <c r="E105" s="17">
        <f>'1st Innings'!E105</f>
        <v>0</v>
      </c>
      <c r="F105" s="17">
        <f>'1st Innings'!F105</f>
        <v>0</v>
      </c>
      <c r="G105" s="17">
        <f>'1st Innings'!G105</f>
        <v>0</v>
      </c>
      <c r="H105" s="17">
        <f>'1st Innings'!H105</f>
        <v>0</v>
      </c>
      <c r="I105" s="17">
        <f>'1st Innings'!I105</f>
        <v>0</v>
      </c>
      <c r="J105" s="17">
        <f>'1st Innings'!J105</f>
        <v>0</v>
      </c>
      <c r="K105" s="17">
        <f>'1st Innings'!K105</f>
        <v>0</v>
      </c>
      <c r="L105" s="17">
        <f>'1st Innings'!L105</f>
        <v>0</v>
      </c>
      <c r="M105" s="17">
        <f>'1st Innings'!M105</f>
        <v>0</v>
      </c>
      <c r="N105" s="17">
        <f>'1st Innings'!N105</f>
        <v>0</v>
      </c>
      <c r="O105" s="17">
        <f>'1st Innings'!O105</f>
        <v>0</v>
      </c>
      <c r="P105" s="17">
        <f>'1st Innings'!P105</f>
        <v>0</v>
      </c>
      <c r="Q105" s="54"/>
      <c r="R105" s="57"/>
      <c r="S105" s="3"/>
      <c r="T105" s="56"/>
      <c r="U105" s="3"/>
      <c r="V105" s="56"/>
      <c r="W105" s="56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</row>
    <row r="106" spans="1:69" x14ac:dyDescent="0.25">
      <c r="A106" s="17">
        <f>'1st Innings'!A106</f>
        <v>0</v>
      </c>
      <c r="B106" s="17">
        <f>'1st Innings'!B106</f>
        <v>0</v>
      </c>
      <c r="C106" s="17">
        <f>'1st Innings'!C106</f>
        <v>0</v>
      </c>
      <c r="D106" s="17">
        <f>'1st Innings'!D106</f>
        <v>0</v>
      </c>
      <c r="E106" s="17">
        <f>'1st Innings'!E106</f>
        <v>0</v>
      </c>
      <c r="F106" s="17">
        <f>'1st Innings'!F106</f>
        <v>0</v>
      </c>
      <c r="G106" s="17">
        <f>'1st Innings'!G106</f>
        <v>0</v>
      </c>
      <c r="H106" s="17">
        <f>'1st Innings'!H106</f>
        <v>0</v>
      </c>
      <c r="I106" s="17">
        <f>'1st Innings'!I106</f>
        <v>0</v>
      </c>
      <c r="J106" s="17">
        <f>'1st Innings'!J106</f>
        <v>0</v>
      </c>
      <c r="K106" s="17">
        <f>'1st Innings'!K106</f>
        <v>0</v>
      </c>
      <c r="L106" s="17">
        <f>'1st Innings'!L106</f>
        <v>0</v>
      </c>
      <c r="M106" s="17">
        <f>'1st Innings'!M106</f>
        <v>0</v>
      </c>
      <c r="N106" s="17">
        <f>'1st Innings'!N106</f>
        <v>0</v>
      </c>
      <c r="O106" s="17">
        <f>'1st Innings'!O106</f>
        <v>0</v>
      </c>
      <c r="P106" s="17">
        <f>'1st Innings'!P106</f>
        <v>0</v>
      </c>
      <c r="Q106" s="54"/>
      <c r="R106" s="57"/>
      <c r="S106" s="3"/>
      <c r="T106" s="56"/>
      <c r="U106" s="3"/>
      <c r="V106" s="56"/>
      <c r="W106" s="56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</row>
    <row r="107" spans="1:69" x14ac:dyDescent="0.25">
      <c r="A107" s="17">
        <f>'1st Innings'!A107</f>
        <v>0</v>
      </c>
      <c r="B107" s="17">
        <f>'1st Innings'!B107</f>
        <v>0</v>
      </c>
      <c r="C107" s="17">
        <f>'1st Innings'!C107</f>
        <v>0</v>
      </c>
      <c r="D107" s="17">
        <f>'1st Innings'!D107</f>
        <v>0</v>
      </c>
      <c r="E107" s="17">
        <f>'1st Innings'!E107</f>
        <v>0</v>
      </c>
      <c r="F107" s="17">
        <f>'1st Innings'!F107</f>
        <v>0</v>
      </c>
      <c r="G107" s="17">
        <f>'1st Innings'!G107</f>
        <v>0</v>
      </c>
      <c r="H107" s="17">
        <f>'1st Innings'!H107</f>
        <v>0</v>
      </c>
      <c r="I107" s="17">
        <f>'1st Innings'!I107</f>
        <v>0</v>
      </c>
      <c r="J107" s="17">
        <f>'1st Innings'!J107</f>
        <v>0</v>
      </c>
      <c r="K107" s="17">
        <f>'1st Innings'!K107</f>
        <v>0</v>
      </c>
      <c r="L107" s="17">
        <f>'1st Innings'!L107</f>
        <v>0</v>
      </c>
      <c r="M107" s="17">
        <f>'1st Innings'!M107</f>
        <v>0</v>
      </c>
      <c r="N107" s="17">
        <f>'1st Innings'!N107</f>
        <v>0</v>
      </c>
      <c r="O107" s="17">
        <f>'1st Innings'!O107</f>
        <v>0</v>
      </c>
      <c r="P107" s="17">
        <f>'1st Innings'!P107</f>
        <v>0</v>
      </c>
      <c r="Q107" s="54"/>
      <c r="R107" s="57"/>
      <c r="S107" s="3"/>
      <c r="T107" s="56"/>
      <c r="U107" s="56"/>
      <c r="V107" s="56"/>
      <c r="W107" s="56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</row>
    <row r="108" spans="1:69" x14ac:dyDescent="0.25">
      <c r="A108" s="17">
        <f>'1st Innings'!A108</f>
        <v>0</v>
      </c>
      <c r="B108" s="17">
        <f>'1st Innings'!B108</f>
        <v>0</v>
      </c>
      <c r="C108" s="17">
        <f>'1st Innings'!C108</f>
        <v>0</v>
      </c>
      <c r="D108" s="17">
        <f>'1st Innings'!D108</f>
        <v>0</v>
      </c>
      <c r="E108" s="17">
        <f>'1st Innings'!E108</f>
        <v>0</v>
      </c>
      <c r="F108" s="17">
        <f>'1st Innings'!F108</f>
        <v>0</v>
      </c>
      <c r="G108" s="17">
        <f>'1st Innings'!G108</f>
        <v>0</v>
      </c>
      <c r="H108" s="17">
        <f>'1st Innings'!H108</f>
        <v>0</v>
      </c>
      <c r="I108" s="17">
        <f>'1st Innings'!I108</f>
        <v>0</v>
      </c>
      <c r="J108" s="17">
        <f>'1st Innings'!J108</f>
        <v>0</v>
      </c>
      <c r="K108" s="17">
        <f>'1st Innings'!K108</f>
        <v>0</v>
      </c>
      <c r="L108" s="17">
        <f>'1st Innings'!L108</f>
        <v>0</v>
      </c>
      <c r="M108" s="17">
        <f>'1st Innings'!M108</f>
        <v>0</v>
      </c>
      <c r="N108" s="17">
        <f>'1st Innings'!N108</f>
        <v>0</v>
      </c>
      <c r="O108" s="17">
        <f>'1st Innings'!O108</f>
        <v>0</v>
      </c>
      <c r="P108" s="17">
        <f>'1st Innings'!P108</f>
        <v>0</v>
      </c>
      <c r="Q108" s="57"/>
      <c r="R108" s="57"/>
      <c r="W108" s="56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</row>
    <row r="109" spans="1:69" x14ac:dyDescent="0.25">
      <c r="A109" s="17">
        <f>'1st Innings'!A109</f>
        <v>0</v>
      </c>
      <c r="B109" s="17">
        <f>'1st Innings'!B109</f>
        <v>0</v>
      </c>
      <c r="C109" s="17">
        <f>'1st Innings'!C109</f>
        <v>0</v>
      </c>
      <c r="D109" s="17">
        <f>'1st Innings'!D109</f>
        <v>0</v>
      </c>
      <c r="E109" s="17">
        <f>'1st Innings'!E109</f>
        <v>0</v>
      </c>
      <c r="F109" s="17">
        <f>'1st Innings'!F109</f>
        <v>0</v>
      </c>
      <c r="G109" s="17">
        <f>'1st Innings'!G109</f>
        <v>0</v>
      </c>
      <c r="H109" s="17">
        <f>'1st Innings'!H109</f>
        <v>0</v>
      </c>
      <c r="I109" s="17">
        <f>'1st Innings'!I109</f>
        <v>0</v>
      </c>
      <c r="J109" s="17">
        <f>'1st Innings'!J109</f>
        <v>0</v>
      </c>
      <c r="K109" s="17">
        <f>'1st Innings'!K109</f>
        <v>0</v>
      </c>
      <c r="L109" s="17">
        <f>'1st Innings'!L109</f>
        <v>0</v>
      </c>
      <c r="M109" s="17">
        <f>'1st Innings'!M109</f>
        <v>0</v>
      </c>
      <c r="N109" s="17">
        <f>'1st Innings'!N109</f>
        <v>0</v>
      </c>
      <c r="O109" s="17">
        <f>'1st Innings'!O109</f>
        <v>0</v>
      </c>
      <c r="P109" s="17">
        <f>'1st Innings'!P109</f>
        <v>0</v>
      </c>
      <c r="Q109" s="57"/>
      <c r="R109" s="57"/>
      <c r="S109" s="57"/>
      <c r="T109" s="57"/>
      <c r="U109" s="57"/>
      <c r="V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</row>
    <row r="110" spans="1:69" x14ac:dyDescent="0.25">
      <c r="A110" s="17">
        <f>'1st Innings'!A110</f>
        <v>0</v>
      </c>
      <c r="B110" s="17">
        <f>'1st Innings'!B110</f>
        <v>0</v>
      </c>
      <c r="C110" s="17">
        <f>'1st Innings'!C110</f>
        <v>0</v>
      </c>
      <c r="D110" s="17">
        <f>'1st Innings'!D110</f>
        <v>0</v>
      </c>
      <c r="E110" s="17">
        <f>'1st Innings'!E110</f>
        <v>0</v>
      </c>
      <c r="F110" s="17">
        <f>'1st Innings'!F110</f>
        <v>0</v>
      </c>
      <c r="G110" s="17">
        <f>'1st Innings'!G110</f>
        <v>0</v>
      </c>
      <c r="H110" s="17">
        <f>'1st Innings'!H110</f>
        <v>0</v>
      </c>
      <c r="I110" s="17">
        <f>'1st Innings'!I110</f>
        <v>0</v>
      </c>
      <c r="J110" s="17">
        <f>'1st Innings'!J110</f>
        <v>0</v>
      </c>
      <c r="K110" s="17">
        <f>'1st Innings'!K110</f>
        <v>0</v>
      </c>
      <c r="L110" s="17">
        <f>'1st Innings'!L110</f>
        <v>0</v>
      </c>
      <c r="M110" s="17">
        <f>'1st Innings'!M110</f>
        <v>0</v>
      </c>
      <c r="N110" s="17">
        <f>'1st Innings'!N110</f>
        <v>0</v>
      </c>
      <c r="O110" s="17">
        <f>'1st Innings'!O110</f>
        <v>0</v>
      </c>
      <c r="P110" s="17">
        <f>'1st Innings'!P110</f>
        <v>0</v>
      </c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</row>
    <row r="111" spans="1:69" x14ac:dyDescent="0.25">
      <c r="A111" s="17">
        <f>'1st Innings'!A111</f>
        <v>0</v>
      </c>
      <c r="B111" s="17">
        <f>'1st Innings'!B111</f>
        <v>0</v>
      </c>
      <c r="C111" s="17">
        <f>'1st Innings'!C111</f>
        <v>0</v>
      </c>
      <c r="D111" s="17">
        <f>'1st Innings'!D111</f>
        <v>0</v>
      </c>
      <c r="E111" s="17">
        <f>'1st Innings'!E111</f>
        <v>0</v>
      </c>
      <c r="F111" s="17">
        <f>'1st Innings'!F111</f>
        <v>0</v>
      </c>
      <c r="G111" s="17">
        <f>'1st Innings'!G111</f>
        <v>0</v>
      </c>
      <c r="H111" s="17">
        <f>'1st Innings'!H111</f>
        <v>0</v>
      </c>
      <c r="I111" s="17">
        <f>'1st Innings'!I111</f>
        <v>0</v>
      </c>
      <c r="J111" s="17">
        <f>'1st Innings'!J111</f>
        <v>0</v>
      </c>
      <c r="K111" s="17">
        <f>'1st Innings'!K111</f>
        <v>0</v>
      </c>
      <c r="L111" s="17">
        <f>'1st Innings'!L111</f>
        <v>0</v>
      </c>
      <c r="M111" s="17">
        <f>'1st Innings'!M111</f>
        <v>0</v>
      </c>
      <c r="N111" s="17">
        <f>'1st Innings'!N111</f>
        <v>0</v>
      </c>
      <c r="O111" s="17">
        <f>'1st Innings'!O111</f>
        <v>0</v>
      </c>
      <c r="P111" s="17">
        <f>'1st Innings'!P111</f>
        <v>0</v>
      </c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</row>
    <row r="112" spans="1:69" x14ac:dyDescent="0.25">
      <c r="A112" s="17">
        <f>'1st Innings'!A112</f>
        <v>0</v>
      </c>
      <c r="B112" s="17">
        <f>'1st Innings'!B112</f>
        <v>0</v>
      </c>
      <c r="C112" s="17">
        <f>'1st Innings'!C112</f>
        <v>0</v>
      </c>
      <c r="D112" s="17">
        <f>'1st Innings'!D112</f>
        <v>0</v>
      </c>
      <c r="E112" s="17">
        <f>'1st Innings'!E112</f>
        <v>0</v>
      </c>
      <c r="F112" s="17">
        <f>'1st Innings'!F112</f>
        <v>0</v>
      </c>
      <c r="G112" s="17">
        <f>'1st Innings'!G112</f>
        <v>0</v>
      </c>
      <c r="H112" s="17">
        <f>'1st Innings'!H112</f>
        <v>0</v>
      </c>
      <c r="I112" s="17">
        <f>'1st Innings'!I112</f>
        <v>0</v>
      </c>
      <c r="J112" s="17">
        <f>'1st Innings'!J112</f>
        <v>0</v>
      </c>
      <c r="K112" s="17">
        <f>'1st Innings'!K112</f>
        <v>0</v>
      </c>
      <c r="L112" s="17">
        <f>'1st Innings'!L112</f>
        <v>0</v>
      </c>
      <c r="M112" s="17">
        <f>'1st Innings'!M112</f>
        <v>0</v>
      </c>
      <c r="N112" s="17">
        <f>'1st Innings'!N112</f>
        <v>0</v>
      </c>
      <c r="O112" s="17">
        <f>'1st Innings'!O112</f>
        <v>0</v>
      </c>
      <c r="P112" s="17">
        <f>'1st Innings'!P112</f>
        <v>0</v>
      </c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</row>
    <row r="113" spans="1:70" x14ac:dyDescent="0.25">
      <c r="A113" s="17">
        <f>'1st Innings'!A113</f>
        <v>0</v>
      </c>
      <c r="B113" s="17">
        <f>'1st Innings'!B113</f>
        <v>0</v>
      </c>
      <c r="C113" s="17">
        <f>'1st Innings'!C113</f>
        <v>0</v>
      </c>
      <c r="D113" s="17">
        <f>'1st Innings'!D113</f>
        <v>0</v>
      </c>
      <c r="E113" s="17">
        <f>'1st Innings'!E113</f>
        <v>0</v>
      </c>
      <c r="F113" s="17">
        <f>'1st Innings'!F113</f>
        <v>0</v>
      </c>
      <c r="G113" s="17">
        <f>'1st Innings'!G113</f>
        <v>0</v>
      </c>
      <c r="H113" s="17">
        <f>'1st Innings'!H113</f>
        <v>0</v>
      </c>
      <c r="I113" s="17">
        <f>'1st Innings'!I113</f>
        <v>0</v>
      </c>
      <c r="J113" s="17">
        <f>'1st Innings'!J113</f>
        <v>0</v>
      </c>
      <c r="K113" s="17">
        <f>'1st Innings'!K113</f>
        <v>0</v>
      </c>
      <c r="L113" s="17">
        <f>'1st Innings'!L113</f>
        <v>0</v>
      </c>
      <c r="M113" s="17">
        <f>'1st Innings'!M113</f>
        <v>0</v>
      </c>
      <c r="N113" s="17">
        <f>'1st Innings'!N113</f>
        <v>0</v>
      </c>
      <c r="O113" s="17">
        <f>'1st Innings'!O113</f>
        <v>0</v>
      </c>
      <c r="P113" s="17">
        <f>'1st Innings'!P113</f>
        <v>0</v>
      </c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</row>
    <row r="114" spans="1:70" x14ac:dyDescent="0.25">
      <c r="A114" s="17">
        <f>'1st Innings'!A114</f>
        <v>0</v>
      </c>
      <c r="B114" s="17">
        <f>'1st Innings'!B114</f>
        <v>0</v>
      </c>
      <c r="C114" s="17">
        <f>'1st Innings'!C114</f>
        <v>0</v>
      </c>
      <c r="D114" s="17">
        <f>'1st Innings'!D114</f>
        <v>0</v>
      </c>
      <c r="E114" s="17">
        <f>'1st Innings'!E114</f>
        <v>0</v>
      </c>
      <c r="F114" s="17">
        <f>'1st Innings'!F114</f>
        <v>0</v>
      </c>
      <c r="G114" s="17">
        <f>'1st Innings'!G114</f>
        <v>0</v>
      </c>
      <c r="H114" s="17">
        <f>'1st Innings'!H114</f>
        <v>0</v>
      </c>
      <c r="I114" s="17">
        <f>'1st Innings'!I114</f>
        <v>0</v>
      </c>
      <c r="J114" s="17">
        <f>'1st Innings'!J114</f>
        <v>0</v>
      </c>
      <c r="K114" s="17">
        <f>'1st Innings'!K114</f>
        <v>0</v>
      </c>
      <c r="L114" s="17">
        <f>'1st Innings'!L114</f>
        <v>0</v>
      </c>
      <c r="M114" s="17">
        <f>'1st Innings'!M114</f>
        <v>0</v>
      </c>
      <c r="N114" s="17">
        <f>'1st Innings'!N114</f>
        <v>0</v>
      </c>
      <c r="O114" s="17">
        <f>'1st Innings'!O114</f>
        <v>0</v>
      </c>
      <c r="P114" s="17">
        <f>'1st Innings'!P114</f>
        <v>0</v>
      </c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</row>
    <row r="115" spans="1:70" x14ac:dyDescent="0.25">
      <c r="A115" s="17">
        <f>'1st Innings'!A115</f>
        <v>0</v>
      </c>
      <c r="B115" s="17">
        <f>'1st Innings'!B115</f>
        <v>0</v>
      </c>
      <c r="C115" s="17">
        <f>'1st Innings'!C115</f>
        <v>0</v>
      </c>
      <c r="D115" s="17">
        <f>'1st Innings'!D115</f>
        <v>0</v>
      </c>
      <c r="E115" s="17">
        <f>'1st Innings'!E115</f>
        <v>0</v>
      </c>
      <c r="F115" s="17">
        <f>'1st Innings'!F115</f>
        <v>0</v>
      </c>
      <c r="G115" s="17">
        <f>'1st Innings'!G115</f>
        <v>0</v>
      </c>
      <c r="H115" s="17">
        <f>'1st Innings'!H115</f>
        <v>0</v>
      </c>
      <c r="I115" s="17">
        <f>'1st Innings'!I115</f>
        <v>0</v>
      </c>
      <c r="J115" s="17">
        <f>'1st Innings'!J115</f>
        <v>0</v>
      </c>
      <c r="K115" s="17">
        <f>'1st Innings'!K115</f>
        <v>0</v>
      </c>
      <c r="L115" s="17">
        <f>'1st Innings'!L115</f>
        <v>0</v>
      </c>
      <c r="M115" s="17">
        <f>'1st Innings'!M115</f>
        <v>0</v>
      </c>
      <c r="N115" s="17">
        <f>'1st Innings'!N115</f>
        <v>0</v>
      </c>
      <c r="O115" s="17">
        <f>'1st Innings'!O115</f>
        <v>0</v>
      </c>
      <c r="P115" s="17">
        <f>'1st Innings'!P115</f>
        <v>0</v>
      </c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</row>
    <row r="116" spans="1:70" x14ac:dyDescent="0.25">
      <c r="A116" s="17">
        <f>'1st Innings'!A116</f>
        <v>0</v>
      </c>
      <c r="B116" s="17">
        <f>'1st Innings'!B116</f>
        <v>0</v>
      </c>
      <c r="C116" s="17">
        <f>'1st Innings'!C116</f>
        <v>0</v>
      </c>
      <c r="D116" s="17">
        <f>'1st Innings'!D116</f>
        <v>0</v>
      </c>
      <c r="E116" s="17">
        <f>'1st Innings'!E116</f>
        <v>0</v>
      </c>
      <c r="F116" s="17">
        <f>'1st Innings'!F116</f>
        <v>0</v>
      </c>
      <c r="G116" s="17">
        <f>'1st Innings'!G116</f>
        <v>0</v>
      </c>
      <c r="H116" s="17">
        <f>'1st Innings'!H116</f>
        <v>0</v>
      </c>
      <c r="I116" s="17">
        <f>'1st Innings'!I116</f>
        <v>0</v>
      </c>
      <c r="J116" s="17">
        <f>'1st Innings'!J116</f>
        <v>0</v>
      </c>
      <c r="K116" s="17">
        <f>'1st Innings'!K116</f>
        <v>0</v>
      </c>
      <c r="L116" s="17">
        <f>'1st Innings'!L116</f>
        <v>0</v>
      </c>
      <c r="M116" s="17">
        <f>'1st Innings'!M116</f>
        <v>0</v>
      </c>
      <c r="N116" s="17">
        <f>'1st Innings'!N116</f>
        <v>0</v>
      </c>
      <c r="O116" s="17">
        <f>'1st Innings'!O116</f>
        <v>0</v>
      </c>
      <c r="P116" s="17">
        <f>'1st Innings'!P116</f>
        <v>0</v>
      </c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</row>
    <row r="117" spans="1:70" x14ac:dyDescent="0.25">
      <c r="A117" s="17">
        <f>'1st Innings'!A117</f>
        <v>0</v>
      </c>
      <c r="B117" s="17">
        <f>'1st Innings'!B117</f>
        <v>0</v>
      </c>
      <c r="C117" s="17">
        <f>'1st Innings'!C117</f>
        <v>0</v>
      </c>
      <c r="D117" s="17">
        <f>'1st Innings'!D117</f>
        <v>0</v>
      </c>
      <c r="E117" s="17">
        <f>'1st Innings'!E117</f>
        <v>0</v>
      </c>
      <c r="F117" s="17">
        <f>'1st Innings'!F117</f>
        <v>0</v>
      </c>
      <c r="G117" s="17">
        <f>'1st Innings'!G117</f>
        <v>0</v>
      </c>
      <c r="H117" s="17">
        <f>'1st Innings'!H117</f>
        <v>0</v>
      </c>
      <c r="I117" s="17">
        <f>'1st Innings'!I117</f>
        <v>0</v>
      </c>
      <c r="J117" s="17">
        <f>'1st Innings'!J117</f>
        <v>0</v>
      </c>
      <c r="K117" s="17">
        <f>'1st Innings'!K117</f>
        <v>0</v>
      </c>
      <c r="L117" s="17">
        <f>'1st Innings'!L117</f>
        <v>0</v>
      </c>
      <c r="M117" s="17">
        <f>'1st Innings'!M117</f>
        <v>0</v>
      </c>
      <c r="N117" s="17">
        <f>'1st Innings'!N117</f>
        <v>0</v>
      </c>
      <c r="O117" s="17">
        <f>'1st Innings'!O117</f>
        <v>0</v>
      </c>
      <c r="P117" s="17">
        <f>'1st Innings'!P117</f>
        <v>0</v>
      </c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</row>
    <row r="118" spans="1:70" x14ac:dyDescent="0.25">
      <c r="A118" s="17">
        <f>'1st Innings'!A118</f>
        <v>0</v>
      </c>
      <c r="B118" s="17">
        <f>'1st Innings'!B118</f>
        <v>0</v>
      </c>
      <c r="C118" s="17">
        <f>'1st Innings'!C118</f>
        <v>0</v>
      </c>
      <c r="D118" s="17">
        <f>'1st Innings'!D118</f>
        <v>0</v>
      </c>
      <c r="E118" s="17">
        <f>'1st Innings'!E118</f>
        <v>0</v>
      </c>
      <c r="F118" s="17">
        <f>'1st Innings'!F118</f>
        <v>0</v>
      </c>
      <c r="G118" s="17">
        <f>'1st Innings'!G118</f>
        <v>0</v>
      </c>
      <c r="H118" s="17">
        <f>'1st Innings'!H118</f>
        <v>0</v>
      </c>
      <c r="I118" s="17">
        <f>'1st Innings'!I118</f>
        <v>0</v>
      </c>
      <c r="J118" s="17">
        <f>'1st Innings'!J118</f>
        <v>0</v>
      </c>
      <c r="K118" s="17">
        <f>'1st Innings'!K118</f>
        <v>0</v>
      </c>
      <c r="L118" s="17">
        <f>'1st Innings'!L118</f>
        <v>0</v>
      </c>
      <c r="M118" s="17">
        <f>'1st Innings'!M118</f>
        <v>0</v>
      </c>
      <c r="N118" s="17">
        <f>'1st Innings'!N118</f>
        <v>0</v>
      </c>
      <c r="O118" s="17">
        <f>'1st Innings'!O118</f>
        <v>0</v>
      </c>
      <c r="P118" s="17">
        <f>'1st Innings'!P118</f>
        <v>0</v>
      </c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</row>
    <row r="119" spans="1:70" x14ac:dyDescent="0.25">
      <c r="A119" s="17">
        <f>'1st Innings'!A119</f>
        <v>0</v>
      </c>
      <c r="B119" s="17">
        <f>'1st Innings'!B119</f>
        <v>0</v>
      </c>
      <c r="C119" s="17">
        <f>'1st Innings'!C119</f>
        <v>0</v>
      </c>
      <c r="D119" s="17">
        <f>'1st Innings'!D119</f>
        <v>0</v>
      </c>
      <c r="E119" s="17">
        <f>'1st Innings'!E119</f>
        <v>0</v>
      </c>
      <c r="F119" s="17">
        <f>'1st Innings'!F119</f>
        <v>0</v>
      </c>
      <c r="G119" s="17">
        <f>'1st Innings'!G119</f>
        <v>0</v>
      </c>
      <c r="H119" s="17">
        <f>'1st Innings'!H119</f>
        <v>0</v>
      </c>
      <c r="I119" s="17">
        <f>'1st Innings'!I119</f>
        <v>0</v>
      </c>
      <c r="J119" s="17">
        <f>'1st Innings'!J119</f>
        <v>0</v>
      </c>
      <c r="K119" s="17">
        <f>'1st Innings'!K119</f>
        <v>0</v>
      </c>
      <c r="L119" s="17">
        <f>'1st Innings'!L119</f>
        <v>0</v>
      </c>
      <c r="M119" s="17">
        <f>'1st Innings'!M119</f>
        <v>0</v>
      </c>
      <c r="N119" s="17">
        <f>'1st Innings'!N119</f>
        <v>0</v>
      </c>
      <c r="O119" s="17">
        <f>'1st Innings'!O119</f>
        <v>0</v>
      </c>
      <c r="P119" s="17">
        <f>'1st Innings'!P119</f>
        <v>0</v>
      </c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</row>
    <row r="120" spans="1:70" x14ac:dyDescent="0.25">
      <c r="A120" s="160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</row>
    <row r="121" spans="1:70" x14ac:dyDescent="0.25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</row>
    <row r="122" spans="1:70" x14ac:dyDescent="0.2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</row>
    <row r="123" spans="1:70" x14ac:dyDescent="0.2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</row>
    <row r="124" spans="1:70" x14ac:dyDescent="0.2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</row>
    <row r="125" spans="1:70" x14ac:dyDescent="0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</row>
    <row r="126" spans="1:70" x14ac:dyDescent="0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</row>
    <row r="127" spans="1:70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</row>
    <row r="128" spans="1:70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</row>
    <row r="129" spans="1:70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</row>
    <row r="130" spans="1:70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</row>
    <row r="131" spans="1:70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</row>
    <row r="132" spans="1:70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</row>
    <row r="133" spans="1:70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</row>
    <row r="134" spans="1:70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</row>
    <row r="135" spans="1:70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</row>
    <row r="136" spans="1:70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</row>
    <row r="137" spans="1:70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</row>
    <row r="138" spans="1:70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</row>
    <row r="139" spans="1:70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</row>
    <row r="140" spans="1:70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</row>
    <row r="141" spans="1:70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</row>
    <row r="142" spans="1:70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</row>
    <row r="143" spans="1:70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</row>
    <row r="144" spans="1:70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</row>
    <row r="145" spans="1:70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</row>
    <row r="146" spans="1:70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</row>
    <row r="147" spans="1:70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</row>
    <row r="148" spans="1:70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</row>
    <row r="149" spans="1:70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</row>
    <row r="150" spans="1:70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</row>
    <row r="151" spans="1:70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</row>
    <row r="152" spans="1:70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</row>
    <row r="153" spans="1:70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</row>
    <row r="154" spans="1:70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</row>
    <row r="155" spans="1:70" x14ac:dyDescent="0.2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</row>
    <row r="156" spans="1:70" x14ac:dyDescent="0.2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</row>
    <row r="157" spans="1:70" x14ac:dyDescent="0.2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</row>
    <row r="158" spans="1:70" x14ac:dyDescent="0.2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</row>
    <row r="159" spans="1:70" x14ac:dyDescent="0.2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</row>
    <row r="160" spans="1:70" x14ac:dyDescent="0.2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</row>
    <row r="161" spans="1:70" x14ac:dyDescent="0.2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</row>
    <row r="162" spans="1:70" x14ac:dyDescent="0.2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</row>
    <row r="163" spans="1:70" x14ac:dyDescent="0.2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</row>
    <row r="164" spans="1:70" x14ac:dyDescent="0.2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</row>
    <row r="165" spans="1:70" x14ac:dyDescent="0.2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</row>
    <row r="166" spans="1:70" x14ac:dyDescent="0.2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</row>
    <row r="167" spans="1:70" x14ac:dyDescent="0.2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</row>
    <row r="168" spans="1:70" x14ac:dyDescent="0.2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</row>
    <row r="169" spans="1:70" x14ac:dyDescent="0.2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</row>
    <row r="170" spans="1:70" x14ac:dyDescent="0.2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</row>
    <row r="171" spans="1:70" x14ac:dyDescent="0.2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</row>
    <row r="172" spans="1:70" x14ac:dyDescent="0.2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</row>
    <row r="173" spans="1:70" x14ac:dyDescent="0.2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</row>
    <row r="174" spans="1:70" x14ac:dyDescent="0.2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</row>
    <row r="175" spans="1:70" x14ac:dyDescent="0.2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</row>
    <row r="176" spans="1:70" x14ac:dyDescent="0.2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</row>
    <row r="177" spans="1:70" x14ac:dyDescent="0.2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</row>
    <row r="178" spans="1:70" x14ac:dyDescent="0.2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</row>
    <row r="179" spans="1:70" x14ac:dyDescent="0.2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</row>
    <row r="180" spans="1:70" x14ac:dyDescent="0.2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</row>
    <row r="181" spans="1:70" x14ac:dyDescent="0.2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</row>
    <row r="182" spans="1:70" x14ac:dyDescent="0.2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</row>
    <row r="183" spans="1:70" x14ac:dyDescent="0.2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</row>
    <row r="184" spans="1:70" x14ac:dyDescent="0.2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</row>
    <row r="185" spans="1:70" x14ac:dyDescent="0.2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</row>
    <row r="186" spans="1:70" x14ac:dyDescent="0.2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</row>
    <row r="187" spans="1:70" x14ac:dyDescent="0.2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</row>
    <row r="188" spans="1:70" x14ac:dyDescent="0.2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</row>
    <row r="189" spans="1:70" x14ac:dyDescent="0.2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</row>
    <row r="190" spans="1:70" x14ac:dyDescent="0.2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</row>
    <row r="191" spans="1:70" x14ac:dyDescent="0.2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</row>
    <row r="192" spans="1:70" x14ac:dyDescent="0.2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</row>
    <row r="193" spans="1:70" x14ac:dyDescent="0.2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</row>
    <row r="194" spans="1:70" x14ac:dyDescent="0.2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</row>
    <row r="195" spans="1:70" x14ac:dyDescent="0.2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</row>
    <row r="196" spans="1:70" x14ac:dyDescent="0.2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</row>
    <row r="197" spans="1:70" x14ac:dyDescent="0.2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</row>
    <row r="198" spans="1:70" x14ac:dyDescent="0.2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</row>
    <row r="199" spans="1:70" x14ac:dyDescent="0.2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</row>
    <row r="200" spans="1:70" x14ac:dyDescent="0.2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</row>
    <row r="201" spans="1:70" x14ac:dyDescent="0.2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</row>
    <row r="202" spans="1:70" x14ac:dyDescent="0.2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</row>
    <row r="203" spans="1:70" x14ac:dyDescent="0.2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</row>
    <row r="204" spans="1:70" x14ac:dyDescent="0.2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</row>
    <row r="205" spans="1:70" x14ac:dyDescent="0.2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</row>
    <row r="206" spans="1:70" x14ac:dyDescent="0.2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</row>
    <row r="207" spans="1:70" x14ac:dyDescent="0.2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</row>
    <row r="208" spans="1:70" x14ac:dyDescent="0.2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</row>
    <row r="209" spans="1:70" x14ac:dyDescent="0.2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</row>
    <row r="210" spans="1:70" x14ac:dyDescent="0.2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</row>
    <row r="211" spans="1:70" x14ac:dyDescent="0.2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</row>
    <row r="212" spans="1:70" x14ac:dyDescent="0.2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</row>
    <row r="213" spans="1:70" x14ac:dyDescent="0.2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</row>
    <row r="214" spans="1:70" x14ac:dyDescent="0.2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</row>
    <row r="215" spans="1:70" x14ac:dyDescent="0.2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</row>
    <row r="216" spans="1:70" x14ac:dyDescent="0.2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</row>
    <row r="217" spans="1:70" x14ac:dyDescent="0.2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</row>
    <row r="218" spans="1:70" x14ac:dyDescent="0.2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</row>
    <row r="219" spans="1:70" x14ac:dyDescent="0.2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</row>
    <row r="220" spans="1:70" x14ac:dyDescent="0.2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</row>
    <row r="221" spans="1:70" x14ac:dyDescent="0.2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</row>
    <row r="222" spans="1:70" x14ac:dyDescent="0.2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</row>
    <row r="223" spans="1:70" x14ac:dyDescent="0.2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</row>
    <row r="224" spans="1:70" x14ac:dyDescent="0.2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</row>
    <row r="225" spans="1:70" x14ac:dyDescent="0.2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</row>
    <row r="226" spans="1:70" x14ac:dyDescent="0.2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</row>
    <row r="227" spans="1:70" x14ac:dyDescent="0.2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</row>
    <row r="228" spans="1:70" x14ac:dyDescent="0.2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</row>
    <row r="229" spans="1:70" x14ac:dyDescent="0.2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</row>
    <row r="230" spans="1:70" x14ac:dyDescent="0.2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</row>
    <row r="231" spans="1:70" x14ac:dyDescent="0.2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</row>
    <row r="232" spans="1:70" x14ac:dyDescent="0.2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</row>
    <row r="233" spans="1:70" x14ac:dyDescent="0.2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</row>
    <row r="234" spans="1:70" x14ac:dyDescent="0.2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</row>
    <row r="235" spans="1:70" x14ac:dyDescent="0.2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</row>
    <row r="236" spans="1:70" x14ac:dyDescent="0.2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</row>
    <row r="237" spans="1:70" x14ac:dyDescent="0.2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</row>
    <row r="238" spans="1:70" x14ac:dyDescent="0.2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</row>
    <row r="239" spans="1:70" x14ac:dyDescent="0.2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</row>
    <row r="240" spans="1:70" x14ac:dyDescent="0.2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</row>
    <row r="241" spans="1:70" x14ac:dyDescent="0.2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</row>
    <row r="242" spans="1:70" x14ac:dyDescent="0.2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</row>
    <row r="243" spans="1:70" x14ac:dyDescent="0.2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</row>
    <row r="244" spans="1:70" x14ac:dyDescent="0.2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</row>
    <row r="245" spans="1:70" x14ac:dyDescent="0.2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</row>
    <row r="246" spans="1:70" x14ac:dyDescent="0.2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</row>
    <row r="247" spans="1:70" x14ac:dyDescent="0.2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</row>
    <row r="248" spans="1:70" x14ac:dyDescent="0.2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</row>
    <row r="249" spans="1:70" x14ac:dyDescent="0.2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</row>
    <row r="250" spans="1:70" x14ac:dyDescent="0.2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</row>
    <row r="251" spans="1:70" x14ac:dyDescent="0.2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</row>
    <row r="252" spans="1:70" x14ac:dyDescent="0.2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</row>
    <row r="253" spans="1:70" x14ac:dyDescent="0.2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</row>
    <row r="254" spans="1:70" x14ac:dyDescent="0.2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</row>
    <row r="255" spans="1:70" x14ac:dyDescent="0.2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</row>
    <row r="256" spans="1:70" x14ac:dyDescent="0.2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</row>
    <row r="257" spans="1:70" x14ac:dyDescent="0.2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</row>
    <row r="258" spans="1:70" x14ac:dyDescent="0.2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</row>
    <row r="259" spans="1:70" x14ac:dyDescent="0.2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</row>
    <row r="260" spans="1:70" x14ac:dyDescent="0.2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</row>
    <row r="261" spans="1:70" x14ac:dyDescent="0.2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</row>
    <row r="262" spans="1:70" x14ac:dyDescent="0.2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</row>
    <row r="263" spans="1:70" x14ac:dyDescent="0.2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</row>
    <row r="264" spans="1:70" x14ac:dyDescent="0.2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</row>
    <row r="265" spans="1:70" x14ac:dyDescent="0.2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</row>
    <row r="266" spans="1:70" x14ac:dyDescent="0.2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</row>
    <row r="267" spans="1:70" x14ac:dyDescent="0.2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</row>
    <row r="268" spans="1:70" x14ac:dyDescent="0.2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</row>
    <row r="269" spans="1:70" x14ac:dyDescent="0.2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</row>
    <row r="270" spans="1:70" x14ac:dyDescent="0.2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</row>
    <row r="271" spans="1:70" x14ac:dyDescent="0.2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</row>
    <row r="272" spans="1:70" x14ac:dyDescent="0.2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</row>
    <row r="273" spans="1:70" x14ac:dyDescent="0.2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</row>
    <row r="274" spans="1:70" x14ac:dyDescent="0.2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</row>
    <row r="275" spans="1:70" x14ac:dyDescent="0.2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</row>
    <row r="276" spans="1:70" x14ac:dyDescent="0.2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  <c r="BO276" s="57"/>
      <c r="BP276" s="57"/>
      <c r="BQ276" s="57"/>
      <c r="BR276" s="57"/>
    </row>
    <row r="277" spans="1:70" x14ac:dyDescent="0.2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7"/>
      <c r="BQ277" s="57"/>
      <c r="BR277" s="57"/>
    </row>
    <row r="278" spans="1:70" x14ac:dyDescent="0.2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</row>
    <row r="279" spans="1:70" x14ac:dyDescent="0.2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</row>
    <row r="280" spans="1:70" x14ac:dyDescent="0.2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</row>
    <row r="281" spans="1:70" x14ac:dyDescent="0.2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</row>
    <row r="282" spans="1:70" x14ac:dyDescent="0.2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</row>
    <row r="283" spans="1:70" x14ac:dyDescent="0.2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</row>
    <row r="284" spans="1:70" x14ac:dyDescent="0.2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</row>
    <row r="285" spans="1:70" x14ac:dyDescent="0.2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</row>
    <row r="286" spans="1:70" x14ac:dyDescent="0.2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57"/>
      <c r="BR286" s="57"/>
    </row>
    <row r="287" spans="1:70" x14ac:dyDescent="0.2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</row>
    <row r="288" spans="1:70" x14ac:dyDescent="0.2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</row>
    <row r="289" spans="1:70" x14ac:dyDescent="0.2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</row>
    <row r="290" spans="1:70" x14ac:dyDescent="0.2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</row>
    <row r="291" spans="1:70" x14ac:dyDescent="0.2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</row>
    <row r="292" spans="1:70" x14ac:dyDescent="0.2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</row>
    <row r="293" spans="1:70" x14ac:dyDescent="0.2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  <c r="BO293" s="57"/>
      <c r="BP293" s="57"/>
      <c r="BQ293" s="57"/>
      <c r="BR293" s="57"/>
    </row>
    <row r="294" spans="1:70" x14ac:dyDescent="0.2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</row>
    <row r="295" spans="1:70" x14ac:dyDescent="0.2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</row>
    <row r="296" spans="1:70" x14ac:dyDescent="0.2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</row>
    <row r="297" spans="1:70" x14ac:dyDescent="0.2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</row>
    <row r="298" spans="1:70" x14ac:dyDescent="0.2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</row>
    <row r="299" spans="1:70" x14ac:dyDescent="0.2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</row>
    <row r="300" spans="1:70" x14ac:dyDescent="0.2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7"/>
      <c r="BP300" s="57"/>
      <c r="BQ300" s="57"/>
      <c r="BR300" s="57"/>
    </row>
    <row r="301" spans="1:70" x14ac:dyDescent="0.2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  <c r="BO301" s="57"/>
      <c r="BP301" s="57"/>
      <c r="BQ301" s="57"/>
      <c r="BR301" s="57"/>
    </row>
    <row r="302" spans="1:70" x14ac:dyDescent="0.25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</row>
    <row r="303" spans="1:70" x14ac:dyDescent="0.25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  <c r="BO303" s="57"/>
      <c r="BP303" s="57"/>
      <c r="BQ303" s="57"/>
      <c r="BR303" s="57"/>
    </row>
    <row r="304" spans="1:70" x14ac:dyDescent="0.25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</row>
    <row r="305" spans="1:70" x14ac:dyDescent="0.25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7"/>
      <c r="BP305" s="57"/>
      <c r="BQ305" s="57"/>
      <c r="BR305" s="57"/>
    </row>
    <row r="306" spans="1:70" x14ac:dyDescent="0.25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  <c r="BO306" s="57"/>
      <c r="BP306" s="57"/>
      <c r="BQ306" s="57"/>
      <c r="BR306" s="57"/>
    </row>
    <row r="307" spans="1:70" x14ac:dyDescent="0.25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  <c r="BO307" s="57"/>
      <c r="BP307" s="57"/>
      <c r="BQ307" s="57"/>
      <c r="BR307" s="57"/>
    </row>
    <row r="308" spans="1:70" x14ac:dyDescent="0.25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57"/>
      <c r="BM308" s="57"/>
      <c r="BN308" s="57"/>
      <c r="BO308" s="57"/>
      <c r="BP308" s="57"/>
      <c r="BQ308" s="57"/>
      <c r="BR308" s="57"/>
    </row>
    <row r="309" spans="1:70" x14ac:dyDescent="0.25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  <c r="BO309" s="57"/>
      <c r="BP309" s="57"/>
      <c r="BQ309" s="57"/>
      <c r="BR309" s="57"/>
    </row>
    <row r="310" spans="1:70" x14ac:dyDescent="0.25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7"/>
      <c r="BR310" s="57"/>
    </row>
    <row r="311" spans="1:70" x14ac:dyDescent="0.25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</row>
    <row r="312" spans="1:70" x14ac:dyDescent="0.25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</row>
    <row r="313" spans="1:70" x14ac:dyDescent="0.25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</row>
    <row r="314" spans="1:70" x14ac:dyDescent="0.25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</row>
    <row r="315" spans="1:70" x14ac:dyDescent="0.25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</row>
    <row r="316" spans="1:70" x14ac:dyDescent="0.25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</row>
    <row r="317" spans="1:70" x14ac:dyDescent="0.25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</row>
    <row r="318" spans="1:70" x14ac:dyDescent="0.25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</row>
    <row r="319" spans="1:70" x14ac:dyDescent="0.25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7"/>
      <c r="BQ319" s="57"/>
      <c r="BR319" s="57"/>
    </row>
    <row r="320" spans="1:70" x14ac:dyDescent="0.25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</row>
    <row r="321" spans="1:70" x14ac:dyDescent="0.25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</row>
    <row r="322" spans="1:70" x14ac:dyDescent="0.25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</row>
    <row r="323" spans="1:70" x14ac:dyDescent="0.25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</row>
    <row r="324" spans="1:70" x14ac:dyDescent="0.25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  <c r="BO324" s="57"/>
      <c r="BP324" s="57"/>
      <c r="BQ324" s="57"/>
      <c r="BR324" s="57"/>
    </row>
    <row r="325" spans="1:70" x14ac:dyDescent="0.25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7"/>
    </row>
    <row r="326" spans="1:70" x14ac:dyDescent="0.25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7"/>
      <c r="BQ326" s="57"/>
      <c r="BR326" s="57"/>
    </row>
    <row r="327" spans="1:70" x14ac:dyDescent="0.25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7"/>
      <c r="BQ327" s="57"/>
      <c r="BR327" s="57"/>
    </row>
    <row r="328" spans="1:70" x14ac:dyDescent="0.25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  <c r="BO328" s="57"/>
      <c r="BP328" s="57"/>
      <c r="BQ328" s="57"/>
      <c r="BR328" s="57"/>
    </row>
    <row r="329" spans="1:70" x14ac:dyDescent="0.25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  <c r="BO329" s="57"/>
      <c r="BP329" s="57"/>
      <c r="BQ329" s="57"/>
      <c r="BR329" s="57"/>
    </row>
    <row r="330" spans="1:70" x14ac:dyDescent="0.25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  <c r="BO330" s="57"/>
      <c r="BP330" s="57"/>
      <c r="BQ330" s="57"/>
      <c r="BR330" s="57"/>
    </row>
    <row r="331" spans="1:70" x14ac:dyDescent="0.25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  <c r="BO331" s="57"/>
      <c r="BP331" s="57"/>
      <c r="BQ331" s="57"/>
      <c r="BR331" s="57"/>
    </row>
    <row r="332" spans="1:70" x14ac:dyDescent="0.25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  <c r="BO332" s="57"/>
      <c r="BP332" s="57"/>
      <c r="BQ332" s="57"/>
      <c r="BR332" s="57"/>
    </row>
    <row r="333" spans="1:70" x14ac:dyDescent="0.25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  <c r="BO333" s="57"/>
      <c r="BP333" s="57"/>
      <c r="BQ333" s="57"/>
      <c r="BR333" s="57"/>
    </row>
    <row r="334" spans="1:70" x14ac:dyDescent="0.25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  <c r="BO334" s="57"/>
      <c r="BP334" s="57"/>
      <c r="BQ334" s="57"/>
      <c r="BR334" s="57"/>
    </row>
    <row r="335" spans="1:70" x14ac:dyDescent="0.25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</row>
    <row r="336" spans="1:70" x14ac:dyDescent="0.25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  <c r="BO336" s="57"/>
      <c r="BP336" s="57"/>
      <c r="BQ336" s="57"/>
      <c r="BR336" s="57"/>
    </row>
    <row r="337" spans="1:70" x14ac:dyDescent="0.25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7"/>
      <c r="BQ337" s="57"/>
      <c r="BR337" s="57"/>
    </row>
    <row r="338" spans="1:70" x14ac:dyDescent="0.25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  <c r="BE338" s="57"/>
      <c r="BF338" s="57"/>
      <c r="BG338" s="57"/>
      <c r="BH338" s="57"/>
      <c r="BI338" s="57"/>
      <c r="BJ338" s="57"/>
      <c r="BK338" s="57"/>
      <c r="BL338" s="57"/>
      <c r="BM338" s="57"/>
      <c r="BN338" s="57"/>
      <c r="BO338" s="57"/>
      <c r="BP338" s="57"/>
      <c r="BQ338" s="57"/>
      <c r="BR338" s="57"/>
    </row>
    <row r="339" spans="1:70" x14ac:dyDescent="0.25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  <c r="BO339" s="57"/>
      <c r="BP339" s="57"/>
      <c r="BQ339" s="57"/>
      <c r="BR339" s="57"/>
    </row>
    <row r="340" spans="1:70" x14ac:dyDescent="0.25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</row>
    <row r="341" spans="1:70" x14ac:dyDescent="0.25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</row>
    <row r="342" spans="1:70" x14ac:dyDescent="0.25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</row>
    <row r="343" spans="1:70" x14ac:dyDescent="0.25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</row>
    <row r="344" spans="1:70" x14ac:dyDescent="0.25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</row>
    <row r="345" spans="1:70" x14ac:dyDescent="0.25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</row>
    <row r="346" spans="1:70" x14ac:dyDescent="0.25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</row>
    <row r="347" spans="1:70" x14ac:dyDescent="0.25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</row>
    <row r="348" spans="1:70" x14ac:dyDescent="0.25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</row>
    <row r="349" spans="1:70" x14ac:dyDescent="0.25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</row>
    <row r="350" spans="1:70" x14ac:dyDescent="0.25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  <c r="BO350" s="57"/>
      <c r="BP350" s="57"/>
      <c r="BQ350" s="57"/>
      <c r="BR350" s="57"/>
    </row>
    <row r="351" spans="1:70" x14ac:dyDescent="0.25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</row>
    <row r="352" spans="1:70" x14ac:dyDescent="0.25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</row>
    <row r="353" spans="1:70" x14ac:dyDescent="0.25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</row>
    <row r="354" spans="1:70" x14ac:dyDescent="0.25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</row>
    <row r="355" spans="1:70" x14ac:dyDescent="0.25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</row>
    <row r="356" spans="1:70" x14ac:dyDescent="0.25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</row>
    <row r="357" spans="1:70" x14ac:dyDescent="0.25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</row>
    <row r="358" spans="1:70" x14ac:dyDescent="0.25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57"/>
      <c r="BD358" s="57"/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  <c r="BO358" s="57"/>
      <c r="BP358" s="57"/>
      <c r="BQ358" s="57"/>
      <c r="BR358" s="57"/>
    </row>
    <row r="359" spans="1:70" x14ac:dyDescent="0.25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7"/>
      <c r="BP359" s="57"/>
      <c r="BQ359" s="57"/>
      <c r="BR359" s="57"/>
    </row>
    <row r="360" spans="1:70" x14ac:dyDescent="0.25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57"/>
      <c r="BD360" s="57"/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  <c r="BO360" s="57"/>
      <c r="BP360" s="57"/>
      <c r="BQ360" s="57"/>
      <c r="BR360" s="57"/>
    </row>
    <row r="361" spans="1:70" x14ac:dyDescent="0.25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  <c r="BO361" s="57"/>
      <c r="BP361" s="57"/>
      <c r="BQ361" s="57"/>
      <c r="BR361" s="57"/>
    </row>
    <row r="362" spans="1:70" x14ac:dyDescent="0.25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</row>
    <row r="363" spans="1:70" x14ac:dyDescent="0.25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</row>
    <row r="364" spans="1:70" x14ac:dyDescent="0.25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</row>
    <row r="365" spans="1:70" x14ac:dyDescent="0.25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</row>
    <row r="366" spans="1:70" x14ac:dyDescent="0.25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</row>
    <row r="367" spans="1:70" x14ac:dyDescent="0.25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7"/>
      <c r="BQ367" s="57"/>
      <c r="BR367" s="57"/>
    </row>
    <row r="368" spans="1:70" x14ac:dyDescent="0.25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</row>
    <row r="369" spans="1:70" x14ac:dyDescent="0.25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  <c r="BO369" s="57"/>
      <c r="BP369" s="57"/>
      <c r="BQ369" s="57"/>
      <c r="BR369" s="57"/>
    </row>
    <row r="370" spans="1:70" x14ac:dyDescent="0.25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</row>
    <row r="371" spans="1:70" x14ac:dyDescent="0.25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7"/>
      <c r="BQ371" s="57"/>
      <c r="BR371" s="57"/>
    </row>
    <row r="372" spans="1:70" x14ac:dyDescent="0.25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</row>
    <row r="373" spans="1:70" x14ac:dyDescent="0.25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M373" s="57"/>
      <c r="N373" s="57"/>
      <c r="O373" s="57"/>
      <c r="P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</row>
  </sheetData>
  <sheetProtection selectLockedCells="1"/>
  <mergeCells count="1">
    <mergeCell ref="A1:P1"/>
  </mergeCells>
  <dataValidations count="23">
    <dataValidation type="list" errorStyle="warning" allowBlank="1" showInputMessage="1" showErrorMessage="1" prompt="Use drop down box to select from your team list once Team 1 in selected in cell B3_x000a_" sqref="B8">
      <formula1>INDIRECT(B4)</formula1>
    </dataValidation>
    <dataValidation type="list" errorStyle="warning" allowBlank="1" showInputMessage="1" showErrorMessage="1" prompt="Use drop down box to select from your team list once Team 1 in selected in cell B3_x000a_" sqref="B9">
      <formula1>INDIRECT(B4)</formula1>
    </dataValidation>
    <dataValidation type="list" errorStyle="warning" allowBlank="1" showInputMessage="1" showErrorMessage="1" prompt="Use drop down box to select from your team list once Team 1 in selected in cell B3_x000a_" sqref="B10">
      <formula1>INDIRECT(B4)</formula1>
    </dataValidation>
    <dataValidation type="list" errorStyle="warning" allowBlank="1" showInputMessage="1" showErrorMessage="1" prompt="Use drop down box to select from your team list once Team 1 in selected in cell B3_x000a_" sqref="B11">
      <formula1>INDIRECT(B4)</formula1>
    </dataValidation>
    <dataValidation type="list" errorStyle="warning" allowBlank="1" showInputMessage="1" showErrorMessage="1" prompt="Use drop down box to select from your team list once Team 1 in selected in cell B3_x000a_" sqref="B12">
      <formula1>INDIRECT(B4)</formula1>
    </dataValidation>
    <dataValidation type="list" errorStyle="warning" allowBlank="1" showInputMessage="1" showErrorMessage="1" prompt="Use drop down box to select from your team list once Team 1 in selected in cell B3_x000a_" sqref="B13">
      <formula1>INDIRECT(B4)</formula1>
    </dataValidation>
    <dataValidation type="list" errorStyle="warning" allowBlank="1" showInputMessage="1" showErrorMessage="1" prompt="Use drop down box to select from your team list once Team 1 in selected in cell B3_x000a_" sqref="B14">
      <formula1>INDIRECT(B4)</formula1>
    </dataValidation>
    <dataValidation type="list" errorStyle="warning" allowBlank="1" showInputMessage="1" showErrorMessage="1" prompt="Use drop down box to select from your team list once Team 1 in selected in cell B3_x000a_" sqref="B15">
      <formula1>INDIRECT(B4)</formula1>
    </dataValidation>
    <dataValidation type="list" errorStyle="warning" allowBlank="1" showInputMessage="1" showErrorMessage="1" prompt="Use drop down box to select from your team list once Team 1 in selected in cell B3_x000a_" sqref="B16">
      <formula1>INDIRECT(B4)</formula1>
    </dataValidation>
    <dataValidation type="list" errorStyle="warning" allowBlank="1" showInputMessage="1" showErrorMessage="1" prompt="Use drop down box to select from your team list once Team 1 in selected in cell B3_x000a_" sqref="B17">
      <formula1>INDIRECT(B4)</formula1>
    </dataValidation>
    <dataValidation type="list" errorStyle="warning" allowBlank="1" showInputMessage="1" showErrorMessage="1" prompt="Use drop down box to select from your team list once Team 1 in selected in cell B3_x000a_" sqref="B18">
      <formula1>INDIRECT(B4)</formula1>
    </dataValidation>
    <dataValidation type="list" errorStyle="warning" allowBlank="1" showInputMessage="1" showErrorMessage="1" prompt="Use drop down box to select from your team list once Team 1 in selected in cell B3_x000a_" sqref="B19">
      <formula1>INDIRECT(B$4)</formula1>
    </dataValidation>
    <dataValidation type="list" allowBlank="1" showInputMessage="1" showErrorMessage="1" sqref="D8:D18 D26:D36">
      <formula1>INDIRECT(B$3)</formula1>
    </dataValidation>
    <dataValidation type="list" allowBlank="1" showInputMessage="1" showErrorMessage="1" sqref="C34:C35">
      <formula1>INDIRECT(B$3)</formula1>
    </dataValidation>
    <dataValidation type="list" allowBlank="1" showInputMessage="1" showErrorMessage="1" sqref="F4">
      <formula1>$B$40:$B$41</formula1>
    </dataValidation>
    <dataValidation type="list" allowBlank="1" showInputMessage="1" showErrorMessage="1" sqref="F3">
      <formula1>$B$3:$B$4</formula1>
    </dataValidation>
    <dataValidation type="list" allowBlank="1" showInputMessage="1" showErrorMessage="1" sqref="C8:C18">
      <formula1>$C$45:$C$54</formula1>
    </dataValidation>
    <dataValidation type="list" allowBlank="1" showInputMessage="1" showErrorMessage="1" sqref="B5">
      <formula1>$B$45:$B$50</formula1>
    </dataValidation>
    <dataValidation type="list" allowBlank="1" showInputMessage="1" showErrorMessage="1" sqref="B2">
      <formula1>$C$40:$C$42</formula1>
    </dataValidation>
    <dataValidation type="list" allowBlank="1" showInputMessage="1" showErrorMessage="1" sqref="B3:B4">
      <formula1>$A$40:$A$55</formula1>
    </dataValidation>
    <dataValidation type="list" allowBlank="1" showInputMessage="1" showErrorMessage="1" sqref="E8:E18">
      <formula1>$D$26:$D$36</formula1>
    </dataValidation>
    <dataValidation type="list" allowBlank="1" showInputMessage="1" showErrorMessage="1" sqref="O8:P18">
      <formula1>$B$8:$B$18</formula1>
    </dataValidation>
    <dataValidation type="list" allowBlank="1" showInputMessage="1" showErrorMessage="1" sqref="F22">
      <formula1>$D$45:$D$48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4" workbookViewId="0">
      <selection activeCell="A8" sqref="A8:XFD8"/>
    </sheetView>
  </sheetViews>
  <sheetFormatPr defaultRowHeight="15" x14ac:dyDescent="0.25"/>
  <sheetData>
    <row r="1" spans="1:1" x14ac:dyDescent="0.25">
      <c r="A1" s="60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6" spans="1:1" x14ac:dyDescent="0.25">
      <c r="A6" s="60" t="s">
        <v>112</v>
      </c>
    </row>
    <row r="7" spans="1:1" x14ac:dyDescent="0.25">
      <c r="A7" t="s">
        <v>118</v>
      </c>
    </row>
    <row r="8" spans="1:1" x14ac:dyDescent="0.25">
      <c r="A8" t="s">
        <v>345</v>
      </c>
    </row>
    <row r="9" spans="1:1" x14ac:dyDescent="0.25">
      <c r="A9" t="s">
        <v>89</v>
      </c>
    </row>
    <row r="10" spans="1:1" x14ac:dyDescent="0.25">
      <c r="A10" t="s">
        <v>214</v>
      </c>
    </row>
    <row r="11" spans="1:1" x14ac:dyDescent="0.25">
      <c r="A11" t="s">
        <v>119</v>
      </c>
    </row>
    <row r="12" spans="1:1" x14ac:dyDescent="0.25">
      <c r="A12" t="s">
        <v>90</v>
      </c>
    </row>
    <row r="13" spans="1:1" x14ac:dyDescent="0.25">
      <c r="A13" t="s">
        <v>92</v>
      </c>
    </row>
    <row r="14" spans="1:1" x14ac:dyDescent="0.25">
      <c r="A14" t="s">
        <v>215</v>
      </c>
    </row>
    <row r="15" spans="1:1" x14ac:dyDescent="0.25">
      <c r="A15" t="s">
        <v>91</v>
      </c>
    </row>
    <row r="16" spans="1:1" x14ac:dyDescent="0.25">
      <c r="A16" t="s">
        <v>99</v>
      </c>
    </row>
    <row r="18" spans="1:12" x14ac:dyDescent="0.25">
      <c r="A18" s="60" t="s">
        <v>111</v>
      </c>
    </row>
    <row r="19" spans="1:12" x14ac:dyDescent="0.25">
      <c r="A19" t="s">
        <v>96</v>
      </c>
      <c r="B19" t="s">
        <v>158</v>
      </c>
    </row>
    <row r="20" spans="1:12" x14ac:dyDescent="0.25">
      <c r="A20" t="s">
        <v>93</v>
      </c>
      <c r="B20" t="s">
        <v>340</v>
      </c>
    </row>
    <row r="21" spans="1:12" x14ac:dyDescent="0.25">
      <c r="A21" t="s">
        <v>94</v>
      </c>
      <c r="B21" t="s">
        <v>103</v>
      </c>
    </row>
    <row r="22" spans="1:12" x14ac:dyDescent="0.25">
      <c r="A22" t="s">
        <v>95</v>
      </c>
      <c r="B22" t="s">
        <v>101</v>
      </c>
    </row>
    <row r="23" spans="1:12" x14ac:dyDescent="0.25">
      <c r="A23" t="s">
        <v>97</v>
      </c>
      <c r="B23" t="s">
        <v>102</v>
      </c>
    </row>
    <row r="24" spans="1:12" x14ac:dyDescent="0.25">
      <c r="A24" t="s">
        <v>98</v>
      </c>
      <c r="B24" t="s">
        <v>341</v>
      </c>
    </row>
    <row r="25" spans="1:12" x14ac:dyDescent="0.25">
      <c r="A25" t="s">
        <v>100</v>
      </c>
      <c r="K25" t="s">
        <v>104</v>
      </c>
      <c r="L25" t="s">
        <v>343</v>
      </c>
    </row>
    <row r="26" spans="1:12" x14ac:dyDescent="0.25">
      <c r="L26" t="s">
        <v>342</v>
      </c>
    </row>
    <row r="48" spans="1:2" x14ac:dyDescent="0.25">
      <c r="A48" t="s">
        <v>105</v>
      </c>
      <c r="B48" t="s">
        <v>106</v>
      </c>
    </row>
    <row r="50" spans="1:1" x14ac:dyDescent="0.25">
      <c r="A50" s="60" t="s">
        <v>108</v>
      </c>
    </row>
    <row r="51" spans="1:1" x14ac:dyDescent="0.25">
      <c r="A51" s="59" t="s">
        <v>110</v>
      </c>
    </row>
    <row r="52" spans="1:1" x14ac:dyDescent="0.25">
      <c r="A52" s="59" t="s">
        <v>109</v>
      </c>
    </row>
    <row r="53" spans="1:1" x14ac:dyDescent="0.25">
      <c r="A53" s="59" t="s">
        <v>117</v>
      </c>
    </row>
    <row r="54" spans="1:1" x14ac:dyDescent="0.25">
      <c r="A54" s="6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="75" zoomScaleNormal="75" workbookViewId="0">
      <selection activeCell="D57" sqref="A34:D57"/>
    </sheetView>
  </sheetViews>
  <sheetFormatPr defaultRowHeight="15" x14ac:dyDescent="0.25"/>
  <cols>
    <col min="4" max="4" width="28.7109375" customWidth="1"/>
    <col min="6" max="6" width="14" customWidth="1"/>
    <col min="7" max="7" width="13.28515625" customWidth="1"/>
    <col min="10" max="10" width="12.140625" customWidth="1"/>
    <col min="12" max="12" width="39.5703125" customWidth="1"/>
    <col min="14" max="14" width="12.42578125" customWidth="1"/>
  </cols>
  <sheetData>
    <row r="1" spans="1:18" ht="15.75" thickBot="1" x14ac:dyDescent="0.3"/>
    <row r="2" spans="1:18" ht="15.75" thickBot="1" x14ac:dyDescent="0.3">
      <c r="A2" t="s">
        <v>125</v>
      </c>
      <c r="C2" s="61" t="s">
        <v>126</v>
      </c>
      <c r="D2" s="62"/>
      <c r="F2" s="61" t="s">
        <v>127</v>
      </c>
      <c r="G2" s="64"/>
      <c r="I2" s="61" t="s">
        <v>128</v>
      </c>
      <c r="J2" s="62"/>
      <c r="M2" s="65" t="s">
        <v>37</v>
      </c>
      <c r="N2" s="65" t="s">
        <v>133</v>
      </c>
      <c r="O2" s="65" t="s">
        <v>59</v>
      </c>
      <c r="P2" s="65" t="s">
        <v>134</v>
      </c>
      <c r="Q2" s="65" t="s">
        <v>136</v>
      </c>
      <c r="R2" s="65" t="s">
        <v>145</v>
      </c>
    </row>
    <row r="3" spans="1:18" ht="15.75" thickBot="1" x14ac:dyDescent="0.3">
      <c r="A3" t="s">
        <v>124</v>
      </c>
      <c r="C3" s="61" t="s">
        <v>126</v>
      </c>
      <c r="D3" s="63"/>
      <c r="F3" s="61" t="s">
        <v>127</v>
      </c>
      <c r="G3" s="62"/>
      <c r="I3" s="61" t="s">
        <v>128</v>
      </c>
      <c r="J3" s="63"/>
      <c r="M3" s="66" t="s">
        <v>132</v>
      </c>
      <c r="N3" s="67" t="s">
        <v>57</v>
      </c>
      <c r="O3" s="68" t="s">
        <v>60</v>
      </c>
      <c r="P3" s="67" t="s">
        <v>135</v>
      </c>
      <c r="Q3" s="67" t="s">
        <v>137</v>
      </c>
      <c r="R3" s="67" t="s">
        <v>143</v>
      </c>
    </row>
    <row r="4" spans="1:18" ht="15.75" thickBot="1" x14ac:dyDescent="0.3">
      <c r="A4" t="s">
        <v>122</v>
      </c>
      <c r="D4" s="62"/>
      <c r="M4" s="66" t="s">
        <v>38</v>
      </c>
      <c r="N4" s="67" t="s">
        <v>140</v>
      </c>
      <c r="O4" s="67" t="s">
        <v>44</v>
      </c>
      <c r="P4" s="67" t="s">
        <v>51</v>
      </c>
      <c r="Q4" s="67" t="s">
        <v>138</v>
      </c>
      <c r="R4" s="67" t="s">
        <v>144</v>
      </c>
    </row>
    <row r="5" spans="1:18" ht="15.75" thickBot="1" x14ac:dyDescent="0.3">
      <c r="A5" t="s">
        <v>0</v>
      </c>
      <c r="D5" s="62"/>
      <c r="M5" s="67" t="s">
        <v>39</v>
      </c>
      <c r="N5" s="67" t="s">
        <v>13</v>
      </c>
      <c r="O5" s="67" t="s">
        <v>61</v>
      </c>
      <c r="P5" s="67"/>
      <c r="Q5" s="67" t="s">
        <v>139</v>
      </c>
      <c r="R5" s="67" t="s">
        <v>157</v>
      </c>
    </row>
    <row r="6" spans="1:18" ht="15.75" thickBot="1" x14ac:dyDescent="0.3">
      <c r="A6" t="s">
        <v>59</v>
      </c>
      <c r="D6" s="62"/>
      <c r="M6" s="67" t="s">
        <v>40</v>
      </c>
      <c r="N6" s="67" t="s">
        <v>141</v>
      </c>
      <c r="O6" s="67" t="s">
        <v>62</v>
      </c>
      <c r="P6" s="67"/>
      <c r="Q6" s="67"/>
      <c r="R6" s="67"/>
    </row>
    <row r="7" spans="1:18" ht="15.75" thickBot="1" x14ac:dyDescent="0.3">
      <c r="A7" t="s">
        <v>37</v>
      </c>
      <c r="D7" s="62"/>
      <c r="E7" s="1" t="s">
        <v>123</v>
      </c>
      <c r="F7" s="62"/>
      <c r="M7" s="67" t="s">
        <v>41</v>
      </c>
      <c r="N7" s="67" t="s">
        <v>142</v>
      </c>
      <c r="O7" s="67" t="s">
        <v>63</v>
      </c>
      <c r="P7" s="67"/>
      <c r="Q7" s="67"/>
      <c r="R7" s="67"/>
    </row>
    <row r="8" spans="1:18" ht="15.75" thickBot="1" x14ac:dyDescent="0.3">
      <c r="A8" t="s">
        <v>120</v>
      </c>
      <c r="D8" s="62"/>
      <c r="M8" s="67" t="s">
        <v>42</v>
      </c>
      <c r="N8" s="67"/>
      <c r="O8" s="67" t="s">
        <v>64</v>
      </c>
      <c r="P8" s="67"/>
      <c r="Q8" s="67"/>
      <c r="R8" s="67"/>
    </row>
    <row r="9" spans="1:18" ht="15.75" thickBot="1" x14ac:dyDescent="0.3">
      <c r="A9" t="s">
        <v>121</v>
      </c>
      <c r="D9" s="62"/>
      <c r="M9" s="67" t="s">
        <v>43</v>
      </c>
      <c r="N9" s="67"/>
      <c r="O9" s="67"/>
      <c r="P9" s="67"/>
      <c r="Q9" s="67"/>
      <c r="R9" s="67"/>
    </row>
    <row r="10" spans="1:18" ht="15.75" thickBot="1" x14ac:dyDescent="0.3">
      <c r="A10" t="s">
        <v>129</v>
      </c>
      <c r="M10" s="67" t="s">
        <v>83</v>
      </c>
      <c r="N10" s="67"/>
      <c r="O10" s="67"/>
      <c r="P10" s="67"/>
      <c r="Q10" s="67"/>
      <c r="R10" s="67"/>
    </row>
    <row r="11" spans="1:18" ht="15.75" thickBot="1" x14ac:dyDescent="0.3">
      <c r="A11" t="s">
        <v>130</v>
      </c>
      <c r="D11" s="61" t="s">
        <v>155</v>
      </c>
      <c r="E11" s="62"/>
      <c r="F11" s="61" t="s">
        <v>156</v>
      </c>
      <c r="G11" s="62"/>
      <c r="M11" s="67" t="s">
        <v>44</v>
      </c>
      <c r="N11" s="67"/>
      <c r="O11" s="67"/>
      <c r="P11" s="67"/>
      <c r="Q11" s="67"/>
      <c r="R11" s="67"/>
    </row>
    <row r="12" spans="1:18" ht="15.75" thickBot="1" x14ac:dyDescent="0.3">
      <c r="A12" t="s">
        <v>131</v>
      </c>
      <c r="E12" s="63"/>
      <c r="M12" s="67" t="s">
        <v>84</v>
      </c>
      <c r="N12" s="67"/>
      <c r="O12" s="67"/>
      <c r="P12" s="67"/>
      <c r="Q12" s="67"/>
      <c r="R12" s="67"/>
    </row>
    <row r="13" spans="1:18" ht="15.75" thickBot="1" x14ac:dyDescent="0.3">
      <c r="A13" t="s">
        <v>146</v>
      </c>
      <c r="E13" s="62"/>
      <c r="M13" s="67" t="s">
        <v>45</v>
      </c>
      <c r="N13" s="67"/>
      <c r="O13" s="67"/>
      <c r="P13" s="67"/>
      <c r="Q13" s="67"/>
      <c r="R13" s="67"/>
    </row>
    <row r="14" spans="1:18" x14ac:dyDescent="0.25">
      <c r="M14" s="67" t="s">
        <v>85</v>
      </c>
      <c r="N14" s="67"/>
      <c r="O14" s="67"/>
      <c r="P14" s="67"/>
      <c r="Q14" s="67"/>
      <c r="R14" s="67"/>
    </row>
    <row r="15" spans="1:18" ht="15.75" thickBot="1" x14ac:dyDescent="0.3">
      <c r="A15" t="s">
        <v>147</v>
      </c>
      <c r="F15" t="s">
        <v>154</v>
      </c>
      <c r="M15" s="67" t="s">
        <v>86</v>
      </c>
      <c r="N15" s="67"/>
      <c r="O15" s="67"/>
      <c r="P15" s="67"/>
      <c r="Q15" s="67"/>
      <c r="R15" s="67"/>
    </row>
    <row r="16" spans="1:18" ht="15.75" thickBot="1" x14ac:dyDescent="0.3">
      <c r="A16" t="s">
        <v>148</v>
      </c>
      <c r="D16" s="2"/>
      <c r="F16" s="174"/>
      <c r="G16" s="175"/>
      <c r="H16" s="175"/>
      <c r="I16" s="175"/>
      <c r="J16" s="175"/>
      <c r="K16" s="175"/>
      <c r="L16" s="176"/>
      <c r="M16" s="67" t="s">
        <v>87</v>
      </c>
      <c r="N16" s="67"/>
      <c r="O16" s="67"/>
      <c r="P16" s="67"/>
      <c r="Q16" s="67"/>
      <c r="R16" s="67"/>
    </row>
    <row r="17" spans="1:18" ht="15.75" thickBot="1" x14ac:dyDescent="0.3">
      <c r="A17" t="s">
        <v>149</v>
      </c>
      <c r="D17" s="2"/>
      <c r="F17" s="171"/>
      <c r="G17" s="172"/>
      <c r="H17" s="172"/>
      <c r="I17" s="172"/>
      <c r="J17" s="172"/>
      <c r="K17" s="172"/>
      <c r="L17" s="173"/>
      <c r="M17" s="67" t="s">
        <v>46</v>
      </c>
      <c r="N17" s="67"/>
      <c r="O17" s="67"/>
      <c r="P17" s="67"/>
      <c r="Q17" s="67"/>
      <c r="R17" s="67"/>
    </row>
    <row r="18" spans="1:18" ht="15.75" thickBot="1" x14ac:dyDescent="0.3">
      <c r="A18" t="s">
        <v>150</v>
      </c>
      <c r="D18" s="2"/>
      <c r="F18" s="177"/>
      <c r="G18" s="178"/>
      <c r="H18" s="178"/>
      <c r="I18" s="178"/>
      <c r="J18" s="178"/>
      <c r="K18" s="178"/>
      <c r="L18" s="179"/>
      <c r="M18" s="67" t="s">
        <v>47</v>
      </c>
      <c r="N18" s="67"/>
      <c r="O18" s="67"/>
      <c r="P18" s="67"/>
      <c r="Q18" s="67"/>
      <c r="R18" s="67"/>
    </row>
    <row r="19" spans="1:18" ht="15.75" thickBot="1" x14ac:dyDescent="0.3">
      <c r="A19" t="s">
        <v>151</v>
      </c>
      <c r="D19" s="2"/>
      <c r="F19" s="171"/>
      <c r="G19" s="172"/>
      <c r="H19" s="172"/>
      <c r="I19" s="172"/>
      <c r="J19" s="172"/>
      <c r="K19" s="172"/>
      <c r="L19" s="173"/>
      <c r="M19" s="67" t="s">
        <v>48</v>
      </c>
      <c r="N19" s="67"/>
      <c r="O19" s="67"/>
      <c r="P19" s="67"/>
      <c r="Q19" s="67"/>
      <c r="R19" s="67"/>
    </row>
    <row r="20" spans="1:18" ht="15.75" thickBot="1" x14ac:dyDescent="0.3">
      <c r="A20" t="s">
        <v>152</v>
      </c>
      <c r="D20" s="2"/>
      <c r="F20" s="180"/>
      <c r="G20" s="181"/>
      <c r="H20" s="181"/>
      <c r="I20" s="181"/>
      <c r="J20" s="181"/>
      <c r="K20" s="181"/>
      <c r="L20" s="182"/>
    </row>
    <row r="21" spans="1:18" ht="15.75" thickBot="1" x14ac:dyDescent="0.3">
      <c r="A21" t="s">
        <v>153</v>
      </c>
      <c r="D21" s="2"/>
      <c r="F21" s="171"/>
      <c r="G21" s="172"/>
      <c r="H21" s="172"/>
      <c r="I21" s="172"/>
      <c r="J21" s="172"/>
      <c r="K21" s="172"/>
      <c r="L21" s="173"/>
    </row>
    <row r="34" spans="1:6" x14ac:dyDescent="0.25">
      <c r="A34" s="164"/>
      <c r="B34" s="164"/>
      <c r="C34" s="164"/>
      <c r="D34" s="165"/>
      <c r="F34" s="60"/>
    </row>
    <row r="35" spans="1:6" x14ac:dyDescent="0.25">
      <c r="A35" s="164"/>
      <c r="B35" s="164"/>
      <c r="C35" s="164"/>
      <c r="D35" s="165"/>
    </row>
    <row r="36" spans="1:6" x14ac:dyDescent="0.25">
      <c r="A36" s="164"/>
      <c r="B36" s="164"/>
      <c r="C36" s="164"/>
      <c r="D36" s="165"/>
    </row>
    <row r="37" spans="1:6" x14ac:dyDescent="0.25">
      <c r="A37" s="164"/>
      <c r="B37" s="164"/>
      <c r="C37" s="164"/>
      <c r="D37" s="165"/>
      <c r="F37" s="60"/>
    </row>
    <row r="38" spans="1:6" x14ac:dyDescent="0.25">
      <c r="A38" s="164"/>
      <c r="B38" s="164"/>
      <c r="C38" s="164"/>
      <c r="D38" s="165"/>
    </row>
    <row r="39" spans="1:6" x14ac:dyDescent="0.25">
      <c r="A39" s="164"/>
      <c r="B39" s="164"/>
      <c r="C39" s="164"/>
      <c r="D39" s="165"/>
    </row>
    <row r="40" spans="1:6" x14ac:dyDescent="0.25">
      <c r="A40" s="164"/>
      <c r="B40" s="164"/>
      <c r="C40" s="164"/>
      <c r="D40" s="165"/>
      <c r="F40" s="162"/>
    </row>
    <row r="41" spans="1:6" x14ac:dyDescent="0.25">
      <c r="A41" s="164"/>
      <c r="B41" s="164"/>
      <c r="C41" s="164"/>
      <c r="D41" s="165"/>
    </row>
    <row r="42" spans="1:6" x14ac:dyDescent="0.25">
      <c r="A42" s="164"/>
      <c r="B42" s="164"/>
      <c r="C42" s="164"/>
      <c r="D42" s="165"/>
    </row>
    <row r="43" spans="1:6" x14ac:dyDescent="0.25">
      <c r="A43" s="164"/>
      <c r="B43" s="164"/>
      <c r="C43" s="164"/>
      <c r="D43" s="165"/>
      <c r="F43" s="60"/>
    </row>
    <row r="44" spans="1:6" x14ac:dyDescent="0.25">
      <c r="A44" s="164"/>
      <c r="B44" s="164"/>
      <c r="C44" s="164"/>
      <c r="D44" s="165"/>
    </row>
    <row r="45" spans="1:6" x14ac:dyDescent="0.25">
      <c r="A45" s="164"/>
      <c r="B45" s="164"/>
      <c r="C45" s="164"/>
      <c r="D45" s="165"/>
    </row>
    <row r="46" spans="1:6" x14ac:dyDescent="0.25">
      <c r="A46" s="164"/>
      <c r="B46" s="164"/>
      <c r="C46" s="164"/>
      <c r="D46" s="165"/>
      <c r="F46" s="60"/>
    </row>
    <row r="47" spans="1:6" x14ac:dyDescent="0.25">
      <c r="A47" s="164"/>
      <c r="B47" s="164"/>
      <c r="C47" s="164"/>
      <c r="D47" s="165"/>
    </row>
    <row r="48" spans="1:6" x14ac:dyDescent="0.25">
      <c r="A48" s="164"/>
      <c r="B48" s="164"/>
      <c r="C48" s="164"/>
      <c r="D48" s="165"/>
    </row>
    <row r="49" spans="1:6" x14ac:dyDescent="0.25">
      <c r="A49" s="164"/>
      <c r="B49" s="164"/>
      <c r="C49" s="164"/>
      <c r="D49" s="165"/>
      <c r="F49" s="162"/>
    </row>
    <row r="50" spans="1:6" x14ac:dyDescent="0.25">
      <c r="A50" s="164"/>
      <c r="B50" s="164"/>
      <c r="C50" s="164"/>
      <c r="D50" s="165"/>
    </row>
    <row r="51" spans="1:6" x14ac:dyDescent="0.25">
      <c r="A51" s="164"/>
      <c r="B51" s="164"/>
      <c r="C51" s="164"/>
      <c r="D51" s="165"/>
      <c r="F51" s="60"/>
    </row>
    <row r="52" spans="1:6" x14ac:dyDescent="0.25">
      <c r="A52" s="164"/>
      <c r="B52" s="164"/>
      <c r="C52" s="164"/>
      <c r="D52" s="165"/>
      <c r="F52" s="60"/>
    </row>
    <row r="53" spans="1:6" x14ac:dyDescent="0.25">
      <c r="A53" s="164"/>
      <c r="B53" s="164"/>
      <c r="C53" s="164"/>
      <c r="D53" s="165"/>
    </row>
    <row r="54" spans="1:6" x14ac:dyDescent="0.25">
      <c r="A54" s="164"/>
      <c r="B54" s="164"/>
      <c r="C54" s="164"/>
      <c r="D54" s="165"/>
    </row>
    <row r="55" spans="1:6" x14ac:dyDescent="0.25">
      <c r="A55" s="164"/>
      <c r="B55" s="164"/>
      <c r="C55" s="164"/>
      <c r="D55" s="165"/>
    </row>
    <row r="56" spans="1:6" x14ac:dyDescent="0.25">
      <c r="A56" s="164"/>
      <c r="B56" s="164"/>
      <c r="C56" s="164"/>
      <c r="D56" s="165"/>
    </row>
    <row r="57" spans="1:6" x14ac:dyDescent="0.25">
      <c r="A57" s="164"/>
      <c r="B57" s="164"/>
      <c r="C57" s="164"/>
      <c r="D57" s="164"/>
    </row>
  </sheetData>
  <sortState ref="D34:D55">
    <sortCondition ref="D34"/>
  </sortState>
  <mergeCells count="6">
    <mergeCell ref="F21:L21"/>
    <mergeCell ref="F16:L16"/>
    <mergeCell ref="F17:L17"/>
    <mergeCell ref="F18:L18"/>
    <mergeCell ref="F19:L19"/>
    <mergeCell ref="F20:L20"/>
  </mergeCells>
  <dataValidations disablePrompts="1" count="8">
    <dataValidation type="list" allowBlank="1" showInputMessage="1" showErrorMessage="1" sqref="D16:D21">
      <formula1>$R$3:$R$4</formula1>
    </dataValidation>
    <dataValidation type="list" allowBlank="1" showInputMessage="1" showErrorMessage="1" sqref="G2:G3">
      <formula1>$M$3:$M$19</formula1>
    </dataValidation>
    <dataValidation type="list" allowBlank="1" showInputMessage="1" showErrorMessage="1" sqref="D7:D8 F7">
      <formula1>$M$4:$M$19</formula1>
    </dataValidation>
    <dataValidation type="list" allowBlank="1" showInputMessage="1" showErrorMessage="1" sqref="D6">
      <formula1>$O$3:$O$8</formula1>
    </dataValidation>
    <dataValidation type="list" allowBlank="1" showInputMessage="1" showErrorMessage="1" sqref="D9">
      <formula1>$P$3:$P$4</formula1>
    </dataValidation>
    <dataValidation type="list" allowBlank="1" showInputMessage="1" showErrorMessage="1" sqref="D4">
      <formula1>$N$3:$N$7</formula1>
    </dataValidation>
    <dataValidation type="list" allowBlank="1" showInputMessage="1" showErrorMessage="1" sqref="J2:J3">
      <formula1>$Q$3:$Q$5</formula1>
    </dataValidation>
    <dataValidation type="list" allowBlank="1" showInputMessage="1" showErrorMessage="1" sqref="E11:E13 G11">
      <formula1>$R$3:$R$5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1st Innings</vt:lpstr>
      <vt:lpstr>2nd Innings</vt:lpstr>
      <vt:lpstr>READ ME Notes</vt:lpstr>
      <vt:lpstr>Umpires Report</vt:lpstr>
      <vt:lpstr>'2nd Innings'!Barbarians</vt:lpstr>
      <vt:lpstr>Barbarians</vt:lpstr>
      <vt:lpstr>'2nd Innings'!Ceylon</vt:lpstr>
      <vt:lpstr>Ceylon</vt:lpstr>
      <vt:lpstr>'2nd Innings'!ChairosTigers</vt:lpstr>
      <vt:lpstr>ChairosTigers</vt:lpstr>
      <vt:lpstr>'2nd Innings'!Challengers</vt:lpstr>
      <vt:lpstr>Challengers</vt:lpstr>
      <vt:lpstr>'2nd Innings'!Emerio</vt:lpstr>
      <vt:lpstr>Emerio</vt:lpstr>
      <vt:lpstr>'2nd Innings'!FezRebels</vt:lpstr>
      <vt:lpstr>FezRebels</vt:lpstr>
      <vt:lpstr>'2nd Innings'!GMIS</vt:lpstr>
      <vt:lpstr>GMIS</vt:lpstr>
      <vt:lpstr>'2nd Innings'!Indorama</vt:lpstr>
      <vt:lpstr>Indorama</vt:lpstr>
      <vt:lpstr>'2nd Innings'!Jaguars</vt:lpstr>
      <vt:lpstr>Jaguars</vt:lpstr>
      <vt:lpstr>'2nd Innings'!Mavecrics</vt:lpstr>
      <vt:lpstr>Mavecrics</vt:lpstr>
      <vt:lpstr>'2nd Innings'!Menara</vt:lpstr>
      <vt:lpstr>Menara</vt:lpstr>
      <vt:lpstr>'2nd Innings'!MetroIndians</vt:lpstr>
      <vt:lpstr>MetroIndians</vt:lpstr>
      <vt:lpstr>'2nd Innings'!SenayanCC</vt:lpstr>
      <vt:lpstr>SenayanCC</vt:lpstr>
      <vt:lpstr>'2nd Innings'!TKCC</vt:lpstr>
      <vt:lpstr>TKCC</vt:lpstr>
      <vt:lpstr>'2nd Innings'!WISCI</vt:lpstr>
      <vt:lpstr>WISCI</vt:lpstr>
      <vt:lpstr>'2nd Innings'!WPPIndia</vt:lpstr>
      <vt:lpstr>WPPIndia</vt:lpstr>
    </vt:vector>
  </TitlesOfParts>
  <Company>BLACK EDITION - tum0r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user35</dc:creator>
  <cp:lastModifiedBy>user35</cp:lastModifiedBy>
  <dcterms:created xsi:type="dcterms:W3CDTF">2015-06-15T05:32:57Z</dcterms:created>
  <dcterms:modified xsi:type="dcterms:W3CDTF">2016-03-16T04:09:10Z</dcterms:modified>
</cp:coreProperties>
</file>