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55" windowWidth="20445" windowHeight="1830"/>
  </bookViews>
  <sheets>
    <sheet name="1st Innings" sheetId="5" r:id="rId1"/>
    <sheet name="2nd Innings" sheetId="8" r:id="rId2"/>
    <sheet name="READ ME Notes" sheetId="9" r:id="rId3"/>
    <sheet name="Umpires Report" sheetId="10" r:id="rId4"/>
  </sheets>
  <definedNames>
    <definedName name="Barbarians" localSheetId="1">'2nd Innings'!$D$58:$D$95</definedName>
    <definedName name="Barbarians">'1st Innings'!$D$58:$D$95</definedName>
    <definedName name="Ceylon" localSheetId="1">'2nd Innings'!$B$58:$B$99</definedName>
    <definedName name="Ceylon">'1st Innings'!$B$58:$B$99</definedName>
    <definedName name="ChairosTigers" localSheetId="1">'2nd Innings'!$L$58:$L$82</definedName>
    <definedName name="ChairosTigers">'1st Innings'!$L$58:$L$82</definedName>
    <definedName name="Challengers" localSheetId="1">'2nd Innings'!$J$58:$J$82</definedName>
    <definedName name="Challengers">'1st Innings'!$J$58:$J$82</definedName>
    <definedName name="Emerio" localSheetId="1">'2nd Innings'!$C$58:$C$85</definedName>
    <definedName name="Emerio">'1st Innings'!$C$58:$C$85</definedName>
    <definedName name="FezRebels" localSheetId="1">'2nd Innings'!$K$58:$K$92</definedName>
    <definedName name="FezRebels">'1st Innings'!$K$58:$K$92</definedName>
    <definedName name="GMIS" localSheetId="1">'2nd Innings'!$H$58:$H$81</definedName>
    <definedName name="GMIS">'1st Innings'!$H$58:$H$81</definedName>
    <definedName name="Indorama" localSheetId="1">'2nd Innings'!$E$58:$E$83</definedName>
    <definedName name="Indorama">'1st Innings'!$E$58:$E$83</definedName>
    <definedName name="Jaguars" localSheetId="1">'2nd Innings'!$P$58:$P$84</definedName>
    <definedName name="Jaguars">'1st Innings'!$P$58:$P$84</definedName>
    <definedName name="Mavecrics" localSheetId="1">'2nd Innings'!$N$58:$N$97</definedName>
    <definedName name="Mavecrics">'1st Innings'!$N$58:$N$97</definedName>
    <definedName name="Menara" localSheetId="1">'2nd Innings'!$F$58:$F$83</definedName>
    <definedName name="Menara">'1st Innings'!$F$58:$F$83</definedName>
    <definedName name="MetroIndians" localSheetId="1">'2nd Innings'!$M$58:$M$80</definedName>
    <definedName name="MetroIndians">'1st Innings'!$M$58:$M$80</definedName>
    <definedName name="SenayanCC" localSheetId="1">'2nd Innings'!$I$58:$I$90</definedName>
    <definedName name="SenayanCC">'1st Innings'!$I$58:$I$90</definedName>
    <definedName name="TKCC" localSheetId="1">'2nd Innings'!$O$58:$O$82</definedName>
    <definedName name="TKCC">'1st Innings'!$O$58:$O$82</definedName>
    <definedName name="WISCI" localSheetId="1">'2nd Innings'!$A$58:$A$84</definedName>
    <definedName name="WISCI">'1st Innings'!$A$58:$A$84</definedName>
    <definedName name="WPPIndia" localSheetId="1">'2nd Innings'!$G$58:$G$80</definedName>
    <definedName name="WPPIndia">'1st Innings'!$G$58:$G$80</definedName>
  </definedNames>
  <calcPr calcId="125725"/>
</workbook>
</file>

<file path=xl/calcChain.xml><?xml version="1.0" encoding="utf-8"?>
<calcChain xmlns="http://schemas.openxmlformats.org/spreadsheetml/2006/main">
  <c r="P26" i="5"/>
  <c r="AJ127"/>
  <c r="AJ128"/>
  <c r="AJ129"/>
  <c r="AJ130"/>
  <c r="AJ131"/>
  <c r="A59" i="8"/>
  <c r="B59"/>
  <c r="C59"/>
  <c r="D59"/>
  <c r="E59"/>
  <c r="F59"/>
  <c r="G59"/>
  <c r="H59"/>
  <c r="I59"/>
  <c r="J59"/>
  <c r="K59"/>
  <c r="L59"/>
  <c r="M59"/>
  <c r="N59"/>
  <c r="O59"/>
  <c r="P59"/>
  <c r="A60"/>
  <c r="B60"/>
  <c r="C60"/>
  <c r="D60"/>
  <c r="E60"/>
  <c r="F60"/>
  <c r="G60"/>
  <c r="H60"/>
  <c r="I60"/>
  <c r="J60"/>
  <c r="K60"/>
  <c r="L60"/>
  <c r="M60"/>
  <c r="N60"/>
  <c r="O60"/>
  <c r="P60"/>
  <c r="A61"/>
  <c r="B61"/>
  <c r="C61"/>
  <c r="D61"/>
  <c r="E61"/>
  <c r="F61"/>
  <c r="G61"/>
  <c r="H61"/>
  <c r="I61"/>
  <c r="J61"/>
  <c r="K61"/>
  <c r="L61"/>
  <c r="M61"/>
  <c r="N61"/>
  <c r="O61"/>
  <c r="P61"/>
  <c r="A62"/>
  <c r="B62"/>
  <c r="C62"/>
  <c r="D62"/>
  <c r="E62"/>
  <c r="F62"/>
  <c r="G62"/>
  <c r="H62"/>
  <c r="I62"/>
  <c r="J62"/>
  <c r="K62"/>
  <c r="L62"/>
  <c r="M62"/>
  <c r="N62"/>
  <c r="O62"/>
  <c r="P62"/>
  <c r="A63"/>
  <c r="B63"/>
  <c r="C63"/>
  <c r="D63"/>
  <c r="E63"/>
  <c r="F63"/>
  <c r="G63"/>
  <c r="H63"/>
  <c r="I63"/>
  <c r="J63"/>
  <c r="K63"/>
  <c r="L63"/>
  <c r="M63"/>
  <c r="N63"/>
  <c r="O63"/>
  <c r="P63"/>
  <c r="A64"/>
  <c r="B64"/>
  <c r="C64"/>
  <c r="D64"/>
  <c r="E64"/>
  <c r="F64"/>
  <c r="G64"/>
  <c r="H64"/>
  <c r="I64"/>
  <c r="J64"/>
  <c r="K64"/>
  <c r="L64"/>
  <c r="M64"/>
  <c r="N64"/>
  <c r="O64"/>
  <c r="P64"/>
  <c r="A65"/>
  <c r="B65"/>
  <c r="C65"/>
  <c r="D65"/>
  <c r="E65"/>
  <c r="F65"/>
  <c r="G65"/>
  <c r="H65"/>
  <c r="I65"/>
  <c r="J65"/>
  <c r="K65"/>
  <c r="L65"/>
  <c r="M65"/>
  <c r="N65"/>
  <c r="O65"/>
  <c r="P65"/>
  <c r="A66"/>
  <c r="B66"/>
  <c r="C66"/>
  <c r="D66"/>
  <c r="E66"/>
  <c r="F66"/>
  <c r="G66"/>
  <c r="H66"/>
  <c r="I66"/>
  <c r="J66"/>
  <c r="K66"/>
  <c r="L66"/>
  <c r="M66"/>
  <c r="N66"/>
  <c r="O66"/>
  <c r="P66"/>
  <c r="A67"/>
  <c r="B67"/>
  <c r="C67"/>
  <c r="D67"/>
  <c r="E67"/>
  <c r="F67"/>
  <c r="G67"/>
  <c r="H67"/>
  <c r="I67"/>
  <c r="J67"/>
  <c r="K67"/>
  <c r="L67"/>
  <c r="M67"/>
  <c r="N67"/>
  <c r="O67"/>
  <c r="P67"/>
  <c r="A68"/>
  <c r="B68"/>
  <c r="C68"/>
  <c r="D68"/>
  <c r="E68"/>
  <c r="F68"/>
  <c r="G68"/>
  <c r="H68"/>
  <c r="I68"/>
  <c r="J68"/>
  <c r="K68"/>
  <c r="L68"/>
  <c r="M68"/>
  <c r="N68"/>
  <c r="O68"/>
  <c r="P68"/>
  <c r="A69"/>
  <c r="B69"/>
  <c r="C69"/>
  <c r="D69"/>
  <c r="E69"/>
  <c r="F69"/>
  <c r="G69"/>
  <c r="H69"/>
  <c r="I69"/>
  <c r="J69"/>
  <c r="K69"/>
  <c r="L69"/>
  <c r="M69"/>
  <c r="N69"/>
  <c r="O69"/>
  <c r="P69"/>
  <c r="A70"/>
  <c r="B70"/>
  <c r="C70"/>
  <c r="D70"/>
  <c r="E70"/>
  <c r="F70"/>
  <c r="G70"/>
  <c r="H70"/>
  <c r="I70"/>
  <c r="J70"/>
  <c r="K70"/>
  <c r="L70"/>
  <c r="M70"/>
  <c r="N70"/>
  <c r="O70"/>
  <c r="P70"/>
  <c r="A71"/>
  <c r="B71"/>
  <c r="C71"/>
  <c r="D71"/>
  <c r="E71"/>
  <c r="F71"/>
  <c r="G71"/>
  <c r="H71"/>
  <c r="I71"/>
  <c r="J71"/>
  <c r="K71"/>
  <c r="L71"/>
  <c r="M71"/>
  <c r="N71"/>
  <c r="O71"/>
  <c r="P71"/>
  <c r="A72"/>
  <c r="B72"/>
  <c r="C72"/>
  <c r="D72"/>
  <c r="E72"/>
  <c r="F72"/>
  <c r="G72"/>
  <c r="H72"/>
  <c r="I72"/>
  <c r="J72"/>
  <c r="K72"/>
  <c r="L72"/>
  <c r="M72"/>
  <c r="N72"/>
  <c r="O72"/>
  <c r="P72"/>
  <c r="A73"/>
  <c r="B73"/>
  <c r="C73"/>
  <c r="D73"/>
  <c r="E73"/>
  <c r="F73"/>
  <c r="G73"/>
  <c r="H73"/>
  <c r="I73"/>
  <c r="J73"/>
  <c r="K73"/>
  <c r="L73"/>
  <c r="M73"/>
  <c r="N73"/>
  <c r="O73"/>
  <c r="P73"/>
  <c r="A74"/>
  <c r="B74"/>
  <c r="C74"/>
  <c r="D74"/>
  <c r="E74"/>
  <c r="F74"/>
  <c r="G74"/>
  <c r="H74"/>
  <c r="I74"/>
  <c r="J74"/>
  <c r="K74"/>
  <c r="L74"/>
  <c r="M74"/>
  <c r="N74"/>
  <c r="O74"/>
  <c r="P74"/>
  <c r="A75"/>
  <c r="B75"/>
  <c r="C75"/>
  <c r="D75"/>
  <c r="E75"/>
  <c r="F75"/>
  <c r="G75"/>
  <c r="H75"/>
  <c r="I75"/>
  <c r="J75"/>
  <c r="K75"/>
  <c r="L75"/>
  <c r="M75"/>
  <c r="N75"/>
  <c r="O75"/>
  <c r="P75"/>
  <c r="A76"/>
  <c r="B76"/>
  <c r="C76"/>
  <c r="D76"/>
  <c r="E76"/>
  <c r="F76"/>
  <c r="G76"/>
  <c r="H76"/>
  <c r="I76"/>
  <c r="J76"/>
  <c r="K76"/>
  <c r="L76"/>
  <c r="M76"/>
  <c r="N76"/>
  <c r="O76"/>
  <c r="P76"/>
  <c r="A77"/>
  <c r="B77"/>
  <c r="C77"/>
  <c r="D77"/>
  <c r="E77"/>
  <c r="F77"/>
  <c r="G77"/>
  <c r="H77"/>
  <c r="I77"/>
  <c r="J77"/>
  <c r="K77"/>
  <c r="L77"/>
  <c r="M77"/>
  <c r="N77"/>
  <c r="O77"/>
  <c r="P77"/>
  <c r="A78"/>
  <c r="B78"/>
  <c r="C78"/>
  <c r="D78"/>
  <c r="E78"/>
  <c r="F78"/>
  <c r="G78"/>
  <c r="H78"/>
  <c r="I78"/>
  <c r="J78"/>
  <c r="K78"/>
  <c r="L78"/>
  <c r="M78"/>
  <c r="N78"/>
  <c r="O78"/>
  <c r="P78"/>
  <c r="A79"/>
  <c r="B79"/>
  <c r="C79"/>
  <c r="D79"/>
  <c r="E79"/>
  <c r="F79"/>
  <c r="G79"/>
  <c r="H79"/>
  <c r="I79"/>
  <c r="J79"/>
  <c r="K79"/>
  <c r="L79"/>
  <c r="M79"/>
  <c r="N79"/>
  <c r="O79"/>
  <c r="P79"/>
  <c r="A80"/>
  <c r="B80"/>
  <c r="C80"/>
  <c r="D80"/>
  <c r="E80"/>
  <c r="F80"/>
  <c r="G80"/>
  <c r="H80"/>
  <c r="I80"/>
  <c r="J80"/>
  <c r="K80"/>
  <c r="L80"/>
  <c r="M80"/>
  <c r="N80"/>
  <c r="O80"/>
  <c r="P80"/>
  <c r="A81"/>
  <c r="B81"/>
  <c r="C81"/>
  <c r="D81"/>
  <c r="E81"/>
  <c r="F81"/>
  <c r="G81"/>
  <c r="H81"/>
  <c r="I81"/>
  <c r="J81"/>
  <c r="K81"/>
  <c r="L81"/>
  <c r="M81"/>
  <c r="N81"/>
  <c r="O81"/>
  <c r="P81"/>
  <c r="A82"/>
  <c r="B82"/>
  <c r="C82"/>
  <c r="D82"/>
  <c r="E82"/>
  <c r="F82"/>
  <c r="G82"/>
  <c r="H82"/>
  <c r="I82"/>
  <c r="J82"/>
  <c r="K82"/>
  <c r="L82"/>
  <c r="M82"/>
  <c r="N82"/>
  <c r="O82"/>
  <c r="P82"/>
  <c r="A83"/>
  <c r="B83"/>
  <c r="C83"/>
  <c r="D83"/>
  <c r="E83"/>
  <c r="F83"/>
  <c r="G83"/>
  <c r="H83"/>
  <c r="I83"/>
  <c r="J83"/>
  <c r="K83"/>
  <c r="L83"/>
  <c r="M83"/>
  <c r="N83"/>
  <c r="O83"/>
  <c r="P83"/>
  <c r="A84"/>
  <c r="B84"/>
  <c r="C84"/>
  <c r="D84"/>
  <c r="E84"/>
  <c r="F84"/>
  <c r="G84"/>
  <c r="H84"/>
  <c r="I84"/>
  <c r="J84"/>
  <c r="K84"/>
  <c r="L84"/>
  <c r="M84"/>
  <c r="N84"/>
  <c r="O84"/>
  <c r="P84"/>
  <c r="A85"/>
  <c r="B85"/>
  <c r="C85"/>
  <c r="D85"/>
  <c r="E85"/>
  <c r="F85"/>
  <c r="G85"/>
  <c r="H85"/>
  <c r="I85"/>
  <c r="J85"/>
  <c r="K85"/>
  <c r="L85"/>
  <c r="M85"/>
  <c r="N85"/>
  <c r="O85"/>
  <c r="P85"/>
  <c r="A86"/>
  <c r="B86"/>
  <c r="C86"/>
  <c r="D86"/>
  <c r="E86"/>
  <c r="F86"/>
  <c r="G86"/>
  <c r="H86"/>
  <c r="I86"/>
  <c r="J86"/>
  <c r="K86"/>
  <c r="L86"/>
  <c r="M86"/>
  <c r="N86"/>
  <c r="O86"/>
  <c r="P86"/>
  <c r="A87"/>
  <c r="B87"/>
  <c r="C87"/>
  <c r="D87"/>
  <c r="E87"/>
  <c r="F87"/>
  <c r="G87"/>
  <c r="H87"/>
  <c r="I87"/>
  <c r="J87"/>
  <c r="K87"/>
  <c r="L87"/>
  <c r="M87"/>
  <c r="N87"/>
  <c r="O87"/>
  <c r="P87"/>
  <c r="A88"/>
  <c r="B88"/>
  <c r="C88"/>
  <c r="D88"/>
  <c r="E88"/>
  <c r="F88"/>
  <c r="G88"/>
  <c r="H88"/>
  <c r="I88"/>
  <c r="J88"/>
  <c r="K88"/>
  <c r="L88"/>
  <c r="M88"/>
  <c r="N88"/>
  <c r="O88"/>
  <c r="P88"/>
  <c r="A89"/>
  <c r="B89"/>
  <c r="C89"/>
  <c r="D89"/>
  <c r="E89"/>
  <c r="F89"/>
  <c r="G89"/>
  <c r="H89"/>
  <c r="I89"/>
  <c r="J89"/>
  <c r="K89"/>
  <c r="L89"/>
  <c r="M89"/>
  <c r="N89"/>
  <c r="O89"/>
  <c r="P89"/>
  <c r="A90"/>
  <c r="B90"/>
  <c r="C90"/>
  <c r="D90"/>
  <c r="E90"/>
  <c r="F90"/>
  <c r="G90"/>
  <c r="H90"/>
  <c r="I90"/>
  <c r="J90"/>
  <c r="K90"/>
  <c r="L90"/>
  <c r="M90"/>
  <c r="N90"/>
  <c r="O90"/>
  <c r="P90"/>
  <c r="A91"/>
  <c r="B91"/>
  <c r="C91"/>
  <c r="D91"/>
  <c r="E91"/>
  <c r="F91"/>
  <c r="G91"/>
  <c r="H91"/>
  <c r="I91"/>
  <c r="J91"/>
  <c r="K91"/>
  <c r="L91"/>
  <c r="M91"/>
  <c r="N91"/>
  <c r="O91"/>
  <c r="P91"/>
  <c r="A92"/>
  <c r="B92"/>
  <c r="C92"/>
  <c r="D92"/>
  <c r="E92"/>
  <c r="F92"/>
  <c r="G92"/>
  <c r="H92"/>
  <c r="I92"/>
  <c r="J92"/>
  <c r="K92"/>
  <c r="L92"/>
  <c r="M92"/>
  <c r="N92"/>
  <c r="O92"/>
  <c r="P92"/>
  <c r="A93"/>
  <c r="B93"/>
  <c r="C93"/>
  <c r="D93"/>
  <c r="E93"/>
  <c r="F93"/>
  <c r="G93"/>
  <c r="H93"/>
  <c r="I93"/>
  <c r="J93"/>
  <c r="K93"/>
  <c r="L93"/>
  <c r="M93"/>
  <c r="N93"/>
  <c r="O93"/>
  <c r="P93"/>
  <c r="A94"/>
  <c r="B94"/>
  <c r="C94"/>
  <c r="D94"/>
  <c r="E94"/>
  <c r="F94"/>
  <c r="G94"/>
  <c r="H94"/>
  <c r="I94"/>
  <c r="J94"/>
  <c r="K94"/>
  <c r="L94"/>
  <c r="M94"/>
  <c r="N94"/>
  <c r="O94"/>
  <c r="P94"/>
  <c r="A95"/>
  <c r="B95"/>
  <c r="C95"/>
  <c r="D95"/>
  <c r="E95"/>
  <c r="F95"/>
  <c r="G95"/>
  <c r="H95"/>
  <c r="I95"/>
  <c r="J95"/>
  <c r="K95"/>
  <c r="L95"/>
  <c r="M95"/>
  <c r="N95"/>
  <c r="O95"/>
  <c r="P95"/>
  <c r="A96"/>
  <c r="B96"/>
  <c r="C96"/>
  <c r="D96"/>
  <c r="E96"/>
  <c r="F96"/>
  <c r="G96"/>
  <c r="H96"/>
  <c r="I96"/>
  <c r="J96"/>
  <c r="K96"/>
  <c r="L96"/>
  <c r="M96"/>
  <c r="N96"/>
  <c r="O96"/>
  <c r="P96"/>
  <c r="A97"/>
  <c r="B97"/>
  <c r="C97"/>
  <c r="D97"/>
  <c r="E97"/>
  <c r="F97"/>
  <c r="G97"/>
  <c r="H97"/>
  <c r="I97"/>
  <c r="J97"/>
  <c r="K97"/>
  <c r="L97"/>
  <c r="M97"/>
  <c r="N97"/>
  <c r="O97"/>
  <c r="P97"/>
  <c r="A98"/>
  <c r="B98"/>
  <c r="C98"/>
  <c r="D98"/>
  <c r="E98"/>
  <c r="F98"/>
  <c r="G98"/>
  <c r="H98"/>
  <c r="I98"/>
  <c r="J98"/>
  <c r="K98"/>
  <c r="L98"/>
  <c r="M98"/>
  <c r="N98"/>
  <c r="O98"/>
  <c r="P98"/>
  <c r="A99"/>
  <c r="B99"/>
  <c r="C99"/>
  <c r="D99"/>
  <c r="E99"/>
  <c r="F99"/>
  <c r="G99"/>
  <c r="H99"/>
  <c r="I99"/>
  <c r="J99"/>
  <c r="K99"/>
  <c r="L99"/>
  <c r="M99"/>
  <c r="N99"/>
  <c r="O99"/>
  <c r="P99"/>
  <c r="A100"/>
  <c r="B100"/>
  <c r="C100"/>
  <c r="D100"/>
  <c r="E100"/>
  <c r="F100"/>
  <c r="G100"/>
  <c r="H100"/>
  <c r="I100"/>
  <c r="J100"/>
  <c r="K100"/>
  <c r="L100"/>
  <c r="M100"/>
  <c r="N100"/>
  <c r="O100"/>
  <c r="P100"/>
  <c r="A101"/>
  <c r="B101"/>
  <c r="C101"/>
  <c r="D101"/>
  <c r="E101"/>
  <c r="F101"/>
  <c r="G101"/>
  <c r="H101"/>
  <c r="I101"/>
  <c r="J101"/>
  <c r="K101"/>
  <c r="L101"/>
  <c r="M101"/>
  <c r="N101"/>
  <c r="O101"/>
  <c r="P101"/>
  <c r="A102"/>
  <c r="B102"/>
  <c r="C102"/>
  <c r="D102"/>
  <c r="E102"/>
  <c r="F102"/>
  <c r="G102"/>
  <c r="H102"/>
  <c r="I102"/>
  <c r="J102"/>
  <c r="K102"/>
  <c r="L102"/>
  <c r="M102"/>
  <c r="N102"/>
  <c r="O102"/>
  <c r="P102"/>
  <c r="A103"/>
  <c r="B103"/>
  <c r="C103"/>
  <c r="D103"/>
  <c r="E103"/>
  <c r="F103"/>
  <c r="G103"/>
  <c r="H103"/>
  <c r="I103"/>
  <c r="J103"/>
  <c r="K103"/>
  <c r="L103"/>
  <c r="M103"/>
  <c r="N103"/>
  <c r="O103"/>
  <c r="P103"/>
  <c r="A104"/>
  <c r="B104"/>
  <c r="C104"/>
  <c r="D104"/>
  <c r="E104"/>
  <c r="F104"/>
  <c r="G104"/>
  <c r="H104"/>
  <c r="I104"/>
  <c r="J104"/>
  <c r="K104"/>
  <c r="L104"/>
  <c r="M104"/>
  <c r="N104"/>
  <c r="O104"/>
  <c r="P104"/>
  <c r="A105"/>
  <c r="B105"/>
  <c r="C105"/>
  <c r="D105"/>
  <c r="E105"/>
  <c r="F105"/>
  <c r="G105"/>
  <c r="H105"/>
  <c r="I105"/>
  <c r="J105"/>
  <c r="K105"/>
  <c r="L105"/>
  <c r="M105"/>
  <c r="N105"/>
  <c r="O105"/>
  <c r="P105"/>
  <c r="A106"/>
  <c r="B106"/>
  <c r="C106"/>
  <c r="D106"/>
  <c r="E106"/>
  <c r="F106"/>
  <c r="G106"/>
  <c r="H106"/>
  <c r="I106"/>
  <c r="J106"/>
  <c r="K106"/>
  <c r="L106"/>
  <c r="M106"/>
  <c r="N106"/>
  <c r="O106"/>
  <c r="P106"/>
  <c r="A107"/>
  <c r="B107"/>
  <c r="C107"/>
  <c r="D107"/>
  <c r="E107"/>
  <c r="F107"/>
  <c r="G107"/>
  <c r="H107"/>
  <c r="I107"/>
  <c r="J107"/>
  <c r="K107"/>
  <c r="L107"/>
  <c r="M107"/>
  <c r="N107"/>
  <c r="O107"/>
  <c r="P107"/>
  <c r="A108"/>
  <c r="B108"/>
  <c r="C108"/>
  <c r="D108"/>
  <c r="E108"/>
  <c r="F108"/>
  <c r="G108"/>
  <c r="H108"/>
  <c r="I108"/>
  <c r="J108"/>
  <c r="K108"/>
  <c r="L108"/>
  <c r="M108"/>
  <c r="N108"/>
  <c r="O108"/>
  <c r="P108"/>
  <c r="A109"/>
  <c r="B109"/>
  <c r="C109"/>
  <c r="D109"/>
  <c r="E109"/>
  <c r="F109"/>
  <c r="G109"/>
  <c r="H109"/>
  <c r="I109"/>
  <c r="J109"/>
  <c r="K109"/>
  <c r="L109"/>
  <c r="M109"/>
  <c r="N109"/>
  <c r="O109"/>
  <c r="P109"/>
  <c r="A110"/>
  <c r="B110"/>
  <c r="C110"/>
  <c r="D110"/>
  <c r="E110"/>
  <c r="F110"/>
  <c r="G110"/>
  <c r="H110"/>
  <c r="I110"/>
  <c r="J110"/>
  <c r="K110"/>
  <c r="L110"/>
  <c r="M110"/>
  <c r="N110"/>
  <c r="O110"/>
  <c r="P110"/>
  <c r="A111"/>
  <c r="B111"/>
  <c r="C111"/>
  <c r="D111"/>
  <c r="E111"/>
  <c r="F111"/>
  <c r="G111"/>
  <c r="H111"/>
  <c r="I111"/>
  <c r="J111"/>
  <c r="K111"/>
  <c r="L111"/>
  <c r="M111"/>
  <c r="N111"/>
  <c r="O111"/>
  <c r="P111"/>
  <c r="A112"/>
  <c r="B112"/>
  <c r="C112"/>
  <c r="D112"/>
  <c r="E112"/>
  <c r="F112"/>
  <c r="G112"/>
  <c r="H112"/>
  <c r="I112"/>
  <c r="J112"/>
  <c r="K112"/>
  <c r="L112"/>
  <c r="M112"/>
  <c r="N112"/>
  <c r="O112"/>
  <c r="P112"/>
  <c r="A113"/>
  <c r="B113"/>
  <c r="C113"/>
  <c r="D113"/>
  <c r="E113"/>
  <c r="F113"/>
  <c r="G113"/>
  <c r="H113"/>
  <c r="I113"/>
  <c r="J113"/>
  <c r="K113"/>
  <c r="L113"/>
  <c r="M113"/>
  <c r="N113"/>
  <c r="O113"/>
  <c r="P113"/>
  <c r="A114"/>
  <c r="B114"/>
  <c r="C114"/>
  <c r="D114"/>
  <c r="E114"/>
  <c r="F114"/>
  <c r="G114"/>
  <c r="H114"/>
  <c r="I114"/>
  <c r="J114"/>
  <c r="K114"/>
  <c r="L114"/>
  <c r="M114"/>
  <c r="N114"/>
  <c r="O114"/>
  <c r="P114"/>
  <c r="A115"/>
  <c r="B115"/>
  <c r="C115"/>
  <c r="D115"/>
  <c r="E115"/>
  <c r="F115"/>
  <c r="G115"/>
  <c r="H115"/>
  <c r="I115"/>
  <c r="J115"/>
  <c r="K115"/>
  <c r="L115"/>
  <c r="M115"/>
  <c r="N115"/>
  <c r="O115"/>
  <c r="P115"/>
  <c r="A116"/>
  <c r="B116"/>
  <c r="C116"/>
  <c r="D116"/>
  <c r="E116"/>
  <c r="F116"/>
  <c r="G116"/>
  <c r="H116"/>
  <c r="I116"/>
  <c r="J116"/>
  <c r="K116"/>
  <c r="L116"/>
  <c r="M116"/>
  <c r="N116"/>
  <c r="O116"/>
  <c r="P116"/>
  <c r="A117"/>
  <c r="B117"/>
  <c r="C117"/>
  <c r="D117"/>
  <c r="E117"/>
  <c r="F117"/>
  <c r="G117"/>
  <c r="H117"/>
  <c r="I117"/>
  <c r="J117"/>
  <c r="K117"/>
  <c r="L117"/>
  <c r="M117"/>
  <c r="N117"/>
  <c r="O117"/>
  <c r="P117"/>
  <c r="A118"/>
  <c r="B118"/>
  <c r="C118"/>
  <c r="D118"/>
  <c r="E118"/>
  <c r="F118"/>
  <c r="G118"/>
  <c r="H118"/>
  <c r="I118"/>
  <c r="J118"/>
  <c r="K118"/>
  <c r="L118"/>
  <c r="M118"/>
  <c r="N118"/>
  <c r="O118"/>
  <c r="P118"/>
  <c r="A119"/>
  <c r="B119"/>
  <c r="C119"/>
  <c r="D119"/>
  <c r="E119"/>
  <c r="F119"/>
  <c r="G119"/>
  <c r="H119"/>
  <c r="I119"/>
  <c r="J119"/>
  <c r="K119"/>
  <c r="L119"/>
  <c r="M119"/>
  <c r="N119"/>
  <c r="O119"/>
  <c r="P119"/>
  <c r="B58"/>
  <c r="C58"/>
  <c r="D58"/>
  <c r="E58"/>
  <c r="F58"/>
  <c r="G58"/>
  <c r="H58"/>
  <c r="I58"/>
  <c r="J58"/>
  <c r="K58"/>
  <c r="L58"/>
  <c r="M58"/>
  <c r="N58"/>
  <c r="O58"/>
  <c r="P58"/>
  <c r="A58"/>
  <c r="AR133" i="5"/>
  <c r="AR134"/>
  <c r="AR135"/>
  <c r="AR136"/>
  <c r="AR137"/>
  <c r="AR138"/>
  <c r="AR139"/>
  <c r="AR140"/>
  <c r="AR141"/>
  <c r="AR142"/>
  <c r="AR132"/>
  <c r="AR122"/>
  <c r="AR123"/>
  <c r="AR124"/>
  <c r="AR125"/>
  <c r="AR126"/>
  <c r="AR127"/>
  <c r="AR128"/>
  <c r="AR129"/>
  <c r="AR130"/>
  <c r="AR131"/>
  <c r="AR121"/>
  <c r="AK130" l="1"/>
  <c r="AK127"/>
  <c r="AK131"/>
  <c r="AK128"/>
  <c r="AK129"/>
  <c r="K141"/>
  <c r="K140"/>
  <c r="K139"/>
  <c r="K138"/>
  <c r="K137"/>
  <c r="K135"/>
  <c r="K134"/>
  <c r="K133"/>
  <c r="K132"/>
  <c r="Q17" i="8"/>
  <c r="Q16"/>
  <c r="Q15"/>
  <c r="Q14"/>
  <c r="Q13"/>
  <c r="Q12"/>
  <c r="Q11"/>
  <c r="Q10"/>
  <c r="Q9"/>
  <c r="Q8"/>
  <c r="Y131" i="5"/>
  <c r="X131"/>
  <c r="W131"/>
  <c r="V131"/>
  <c r="U131"/>
  <c r="AL131" s="1"/>
  <c r="AM131" s="1"/>
  <c r="T131"/>
  <c r="S131"/>
  <c r="R131"/>
  <c r="Y130"/>
  <c r="X130"/>
  <c r="W130"/>
  <c r="V130"/>
  <c r="U130"/>
  <c r="AL130" s="1"/>
  <c r="AM130" s="1"/>
  <c r="T130"/>
  <c r="S130"/>
  <c r="R130"/>
  <c r="Y129"/>
  <c r="X129"/>
  <c r="W129"/>
  <c r="V129"/>
  <c r="U129"/>
  <c r="AL129" s="1"/>
  <c r="AM129" s="1"/>
  <c r="T129"/>
  <c r="S129"/>
  <c r="R129"/>
  <c r="Y128"/>
  <c r="X128"/>
  <c r="W128"/>
  <c r="V128"/>
  <c r="U128"/>
  <c r="AL128" s="1"/>
  <c r="AM128" s="1"/>
  <c r="T128"/>
  <c r="S128"/>
  <c r="R128"/>
  <c r="Y127"/>
  <c r="X127"/>
  <c r="W127"/>
  <c r="V127"/>
  <c r="U127"/>
  <c r="AL127" s="1"/>
  <c r="AM127" s="1"/>
  <c r="T127"/>
  <c r="S127"/>
  <c r="R127"/>
  <c r="Y126"/>
  <c r="X126"/>
  <c r="W126"/>
  <c r="V126"/>
  <c r="U126"/>
  <c r="T126"/>
  <c r="S126"/>
  <c r="R126"/>
  <c r="Y125"/>
  <c r="X125"/>
  <c r="W125"/>
  <c r="V125"/>
  <c r="U125"/>
  <c r="AL125" s="1"/>
  <c r="AM125" s="1"/>
  <c r="T125"/>
  <c r="S125"/>
  <c r="R125"/>
  <c r="Y124"/>
  <c r="X124"/>
  <c r="W124"/>
  <c r="V124"/>
  <c r="U124"/>
  <c r="AL124" s="1"/>
  <c r="AM124" s="1"/>
  <c r="T124"/>
  <c r="S124"/>
  <c r="R124"/>
  <c r="Y123"/>
  <c r="X123"/>
  <c r="W123"/>
  <c r="V123"/>
  <c r="U123"/>
  <c r="T123"/>
  <c r="S123"/>
  <c r="R123"/>
  <c r="Y122"/>
  <c r="X122"/>
  <c r="W122"/>
  <c r="V122"/>
  <c r="U122"/>
  <c r="AC122" s="1"/>
  <c r="AB122" s="1"/>
  <c r="T122"/>
  <c r="S122"/>
  <c r="R122"/>
  <c r="Y121"/>
  <c r="X121"/>
  <c r="W121"/>
  <c r="V121"/>
  <c r="U121"/>
  <c r="T121"/>
  <c r="S121"/>
  <c r="R121"/>
  <c r="Y142"/>
  <c r="X142"/>
  <c r="W142"/>
  <c r="V142"/>
  <c r="U142"/>
  <c r="T142"/>
  <c r="S142"/>
  <c r="R142"/>
  <c r="Y141"/>
  <c r="X141"/>
  <c r="W141"/>
  <c r="V141"/>
  <c r="U141"/>
  <c r="T141"/>
  <c r="S141"/>
  <c r="R141"/>
  <c r="Y140"/>
  <c r="X140"/>
  <c r="W140"/>
  <c r="V140"/>
  <c r="U140"/>
  <c r="AL140" s="1"/>
  <c r="AM140" s="1"/>
  <c r="T140"/>
  <c r="S140"/>
  <c r="R140"/>
  <c r="Y139"/>
  <c r="X139"/>
  <c r="W139"/>
  <c r="V139"/>
  <c r="U139"/>
  <c r="AL139" s="1"/>
  <c r="AM139" s="1"/>
  <c r="T139"/>
  <c r="S139"/>
  <c r="R139"/>
  <c r="Y138"/>
  <c r="X138"/>
  <c r="W138"/>
  <c r="V138"/>
  <c r="U138"/>
  <c r="T138"/>
  <c r="S138"/>
  <c r="R138"/>
  <c r="Y137"/>
  <c r="X137"/>
  <c r="W137"/>
  <c r="V137"/>
  <c r="U137"/>
  <c r="AL137" s="1"/>
  <c r="AM137" s="1"/>
  <c r="T137"/>
  <c r="S137"/>
  <c r="R137"/>
  <c r="Y136"/>
  <c r="X136"/>
  <c r="W136"/>
  <c r="V136"/>
  <c r="U136"/>
  <c r="AL136" s="1"/>
  <c r="AM136" s="1"/>
  <c r="T136"/>
  <c r="S136"/>
  <c r="R136"/>
  <c r="Y135"/>
  <c r="X135"/>
  <c r="W135"/>
  <c r="V135"/>
  <c r="U135"/>
  <c r="AL135" s="1"/>
  <c r="AM135" s="1"/>
  <c r="T135"/>
  <c r="S135"/>
  <c r="R135"/>
  <c r="Y134"/>
  <c r="X134"/>
  <c r="W134"/>
  <c r="V134"/>
  <c r="U134"/>
  <c r="AL134" s="1"/>
  <c r="AM134" s="1"/>
  <c r="T134"/>
  <c r="S134"/>
  <c r="R134"/>
  <c r="Y133"/>
  <c r="X133"/>
  <c r="W133"/>
  <c r="V133"/>
  <c r="U133"/>
  <c r="AL133" s="1"/>
  <c r="AM133" s="1"/>
  <c r="T133"/>
  <c r="S133"/>
  <c r="R133"/>
  <c r="Y132"/>
  <c r="X132"/>
  <c r="W132"/>
  <c r="V132"/>
  <c r="U132"/>
  <c r="T132"/>
  <c r="S132"/>
  <c r="R132"/>
  <c r="N131"/>
  <c r="N130"/>
  <c r="N129"/>
  <c r="N128"/>
  <c r="N127"/>
  <c r="N126"/>
  <c r="N125"/>
  <c r="N124"/>
  <c r="N123"/>
  <c r="N122"/>
  <c r="M131"/>
  <c r="M130"/>
  <c r="M129"/>
  <c r="M128"/>
  <c r="M127"/>
  <c r="M126"/>
  <c r="M125"/>
  <c r="M124"/>
  <c r="M123"/>
  <c r="M122"/>
  <c r="L131"/>
  <c r="L130"/>
  <c r="L129"/>
  <c r="L128"/>
  <c r="L127"/>
  <c r="L126"/>
  <c r="L125"/>
  <c r="L124"/>
  <c r="L123"/>
  <c r="L122"/>
  <c r="N121"/>
  <c r="M121"/>
  <c r="L121"/>
  <c r="N142"/>
  <c r="M142"/>
  <c r="L142"/>
  <c r="N141"/>
  <c r="M141"/>
  <c r="L141"/>
  <c r="N140"/>
  <c r="M140"/>
  <c r="L140"/>
  <c r="M139"/>
  <c r="L139"/>
  <c r="N139"/>
  <c r="N138"/>
  <c r="M138"/>
  <c r="L138"/>
  <c r="N137"/>
  <c r="M137"/>
  <c r="L137"/>
  <c r="N136"/>
  <c r="M136"/>
  <c r="L136"/>
  <c r="N135"/>
  <c r="M135"/>
  <c r="L135"/>
  <c r="N134"/>
  <c r="M134"/>
  <c r="L134"/>
  <c r="N133"/>
  <c r="M133"/>
  <c r="L133"/>
  <c r="N132"/>
  <c r="M132"/>
  <c r="L132"/>
  <c r="E133"/>
  <c r="F133"/>
  <c r="AA133" s="1"/>
  <c r="Z133" s="1"/>
  <c r="G133"/>
  <c r="H133"/>
  <c r="I133"/>
  <c r="J133"/>
  <c r="E134"/>
  <c r="F134"/>
  <c r="AA134" s="1"/>
  <c r="Z134" s="1"/>
  <c r="G134"/>
  <c r="H134"/>
  <c r="I134"/>
  <c r="J134"/>
  <c r="E135"/>
  <c r="F135"/>
  <c r="AA135" s="1"/>
  <c r="Z135" s="1"/>
  <c r="G135"/>
  <c r="H135"/>
  <c r="I135"/>
  <c r="J135"/>
  <c r="E136"/>
  <c r="F136"/>
  <c r="AA136" s="1"/>
  <c r="G136"/>
  <c r="H136"/>
  <c r="I136"/>
  <c r="J136"/>
  <c r="E137"/>
  <c r="F137"/>
  <c r="AA137" s="1"/>
  <c r="Z137" s="1"/>
  <c r="G137"/>
  <c r="H137"/>
  <c r="I137"/>
  <c r="J137"/>
  <c r="E138"/>
  <c r="F138"/>
  <c r="AA138" s="1"/>
  <c r="Z138" s="1"/>
  <c r="G138"/>
  <c r="H138"/>
  <c r="I138"/>
  <c r="J138"/>
  <c r="E139"/>
  <c r="F139"/>
  <c r="AA139" s="1"/>
  <c r="Z139" s="1"/>
  <c r="G139"/>
  <c r="H139"/>
  <c r="I139"/>
  <c r="J139"/>
  <c r="E140"/>
  <c r="F140"/>
  <c r="AA140" s="1"/>
  <c r="Z140" s="1"/>
  <c r="G140"/>
  <c r="H140"/>
  <c r="I140"/>
  <c r="J140"/>
  <c r="E141"/>
  <c r="F141"/>
  <c r="AA141" s="1"/>
  <c r="Z141" s="1"/>
  <c r="G141"/>
  <c r="H141"/>
  <c r="I141"/>
  <c r="J141"/>
  <c r="E142"/>
  <c r="F142"/>
  <c r="AA142" s="1"/>
  <c r="Z142" s="1"/>
  <c r="G142"/>
  <c r="H142"/>
  <c r="I142"/>
  <c r="J142"/>
  <c r="K131"/>
  <c r="K130"/>
  <c r="K129"/>
  <c r="K128"/>
  <c r="K127"/>
  <c r="J132"/>
  <c r="I132"/>
  <c r="H132"/>
  <c r="G132"/>
  <c r="F132"/>
  <c r="AA132" s="1"/>
  <c r="E132"/>
  <c r="D133"/>
  <c r="D134"/>
  <c r="D135"/>
  <c r="D136"/>
  <c r="D137"/>
  <c r="D138"/>
  <c r="D139"/>
  <c r="D140"/>
  <c r="D141"/>
  <c r="D142"/>
  <c r="D132"/>
  <c r="A133"/>
  <c r="AS133" s="1"/>
  <c r="B133"/>
  <c r="A134"/>
  <c r="AS134" s="1"/>
  <c r="B134"/>
  <c r="A135"/>
  <c r="AS135" s="1"/>
  <c r="B135"/>
  <c r="A136"/>
  <c r="AS136" s="1"/>
  <c r="B136"/>
  <c r="A137"/>
  <c r="AS137" s="1"/>
  <c r="B137"/>
  <c r="A138"/>
  <c r="AS138" s="1"/>
  <c r="B138"/>
  <c r="A139"/>
  <c r="AS139" s="1"/>
  <c r="B139"/>
  <c r="A140"/>
  <c r="AS140" s="1"/>
  <c r="B140"/>
  <c r="A141"/>
  <c r="AS141" s="1"/>
  <c r="B141"/>
  <c r="A142"/>
  <c r="AS142" s="1"/>
  <c r="B142"/>
  <c r="A132"/>
  <c r="AS132" s="1"/>
  <c r="B132"/>
  <c r="Q10"/>
  <c r="K124" s="1"/>
  <c r="Q11"/>
  <c r="K125" s="1"/>
  <c r="Q12"/>
  <c r="Q13"/>
  <c r="Q14"/>
  <c r="Q15"/>
  <c r="Q16"/>
  <c r="Q17"/>
  <c r="Q9"/>
  <c r="K123" s="1"/>
  <c r="Q8"/>
  <c r="K121" s="1"/>
  <c r="A122"/>
  <c r="AS122" s="1"/>
  <c r="B122"/>
  <c r="D122"/>
  <c r="E122"/>
  <c r="F122"/>
  <c r="G122"/>
  <c r="H122"/>
  <c r="I122"/>
  <c r="J122"/>
  <c r="A123"/>
  <c r="AS123" s="1"/>
  <c r="B123"/>
  <c r="D123"/>
  <c r="E123"/>
  <c r="F123"/>
  <c r="G123"/>
  <c r="H123"/>
  <c r="I123"/>
  <c r="J123"/>
  <c r="A124"/>
  <c r="AS124" s="1"/>
  <c r="B124"/>
  <c r="D124"/>
  <c r="E124"/>
  <c r="F124"/>
  <c r="AA124" s="1"/>
  <c r="Z124" s="1"/>
  <c r="G124"/>
  <c r="H124"/>
  <c r="I124"/>
  <c r="J124"/>
  <c r="A125"/>
  <c r="AS125" s="1"/>
  <c r="B125"/>
  <c r="D125"/>
  <c r="E125"/>
  <c r="F125"/>
  <c r="AA125" s="1"/>
  <c r="Z125" s="1"/>
  <c r="G125"/>
  <c r="H125"/>
  <c r="I125"/>
  <c r="J125"/>
  <c r="A126"/>
  <c r="AS126" s="1"/>
  <c r="B126"/>
  <c r="D126"/>
  <c r="E126"/>
  <c r="F126"/>
  <c r="G126"/>
  <c r="H126"/>
  <c r="I126"/>
  <c r="J126"/>
  <c r="A127"/>
  <c r="AS127" s="1"/>
  <c r="B127"/>
  <c r="D127"/>
  <c r="E127"/>
  <c r="F127"/>
  <c r="AA127" s="1"/>
  <c r="Z127" s="1"/>
  <c r="G127"/>
  <c r="H127"/>
  <c r="I127"/>
  <c r="J127"/>
  <c r="A128"/>
  <c r="AS128" s="1"/>
  <c r="B128"/>
  <c r="D128"/>
  <c r="E128"/>
  <c r="F128"/>
  <c r="G128"/>
  <c r="H128"/>
  <c r="I128"/>
  <c r="J128"/>
  <c r="A129"/>
  <c r="AS129" s="1"/>
  <c r="B129"/>
  <c r="D129"/>
  <c r="E129"/>
  <c r="F129"/>
  <c r="G129"/>
  <c r="H129"/>
  <c r="I129"/>
  <c r="J129"/>
  <c r="A130"/>
  <c r="AS130" s="1"/>
  <c r="B130"/>
  <c r="D130"/>
  <c r="E130"/>
  <c r="F130"/>
  <c r="G130"/>
  <c r="H130"/>
  <c r="I130"/>
  <c r="J130"/>
  <c r="A131"/>
  <c r="AS131" s="1"/>
  <c r="B131"/>
  <c r="D131"/>
  <c r="E131"/>
  <c r="F131"/>
  <c r="G131"/>
  <c r="H131"/>
  <c r="I131"/>
  <c r="J131"/>
  <c r="J121"/>
  <c r="I121"/>
  <c r="H121"/>
  <c r="G121"/>
  <c r="F121"/>
  <c r="E121"/>
  <c r="D121"/>
  <c r="B121"/>
  <c r="A121"/>
  <c r="AS121" s="1"/>
  <c r="H16"/>
  <c r="H15"/>
  <c r="H13"/>
  <c r="F19"/>
  <c r="F20" s="1"/>
  <c r="J37" i="8"/>
  <c r="I37"/>
  <c r="H37"/>
  <c r="G37"/>
  <c r="F37"/>
  <c r="E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F19"/>
  <c r="F20" s="1"/>
  <c r="N18" s="1"/>
  <c r="Q18" s="1"/>
  <c r="K142" i="5" s="1"/>
  <c r="H20" i="8"/>
  <c r="H18"/>
  <c r="H17"/>
  <c r="H16"/>
  <c r="H15"/>
  <c r="H14"/>
  <c r="H13"/>
  <c r="H12"/>
  <c r="H11"/>
  <c r="H10"/>
  <c r="H9"/>
  <c r="H8"/>
  <c r="H20" i="5"/>
  <c r="J37"/>
  <c r="I37"/>
  <c r="H37"/>
  <c r="G37"/>
  <c r="F37"/>
  <c r="E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H18"/>
  <c r="H17"/>
  <c r="H14"/>
  <c r="H12"/>
  <c r="H11"/>
  <c r="H10"/>
  <c r="H9"/>
  <c r="H8"/>
  <c r="AC132" l="1"/>
  <c r="AB132" s="1"/>
  <c r="AL132"/>
  <c r="AM132" s="1"/>
  <c r="AC138"/>
  <c r="AB138" s="1"/>
  <c r="AL138"/>
  <c r="AM138" s="1"/>
  <c r="AC141"/>
  <c r="AB141" s="1"/>
  <c r="AL141"/>
  <c r="AM141" s="1"/>
  <c r="AN132"/>
  <c r="AN133"/>
  <c r="AN134"/>
  <c r="AN135"/>
  <c r="AN136"/>
  <c r="AN137"/>
  <c r="AN138"/>
  <c r="AN139"/>
  <c r="AN140"/>
  <c r="AN141"/>
  <c r="AN142"/>
  <c r="AC142"/>
  <c r="AB142" s="1"/>
  <c r="AL142"/>
  <c r="AM142" s="1"/>
  <c r="AC121"/>
  <c r="AB121" s="1"/>
  <c r="AL121"/>
  <c r="AM121" s="1"/>
  <c r="AC123"/>
  <c r="AB123" s="1"/>
  <c r="AL123"/>
  <c r="AM123" s="1"/>
  <c r="AC126"/>
  <c r="AB126" s="1"/>
  <c r="AL126"/>
  <c r="AM126" s="1"/>
  <c r="AN121"/>
  <c r="AN123"/>
  <c r="AN124"/>
  <c r="AN125"/>
  <c r="AN126"/>
  <c r="AN127"/>
  <c r="AN128"/>
  <c r="AN129"/>
  <c r="AN130"/>
  <c r="AN131"/>
  <c r="AC139"/>
  <c r="AB139" s="1"/>
  <c r="AC140"/>
  <c r="AB140" s="1"/>
  <c r="AC128"/>
  <c r="AB128" s="1"/>
  <c r="AC129"/>
  <c r="AC130"/>
  <c r="AB130" s="1"/>
  <c r="AC131"/>
  <c r="AB131" s="1"/>
  <c r="AC134"/>
  <c r="AB134" s="1"/>
  <c r="AC136"/>
  <c r="AB136" s="1"/>
  <c r="AC137"/>
  <c r="AB137" s="1"/>
  <c r="AC124"/>
  <c r="AB124" s="1"/>
  <c r="AC125"/>
  <c r="AB125" s="1"/>
  <c r="N18"/>
  <c r="Q18" s="1"/>
  <c r="K122" s="1"/>
  <c r="O125"/>
  <c r="O133"/>
  <c r="O137"/>
  <c r="O141"/>
  <c r="O129"/>
  <c r="O124"/>
  <c r="O128"/>
  <c r="O138"/>
  <c r="O121"/>
  <c r="O123"/>
  <c r="O127"/>
  <c r="O131"/>
  <c r="O134"/>
  <c r="O139"/>
  <c r="O142"/>
  <c r="O135"/>
  <c r="O132"/>
  <c r="O136"/>
  <c r="O140"/>
  <c r="O122"/>
  <c r="O126"/>
  <c r="O130"/>
  <c r="AN122"/>
  <c r="AJ121"/>
  <c r="AA131"/>
  <c r="Z131" s="1"/>
  <c r="AA128"/>
  <c r="Z128" s="1"/>
  <c r="AA123"/>
  <c r="Z123" s="1"/>
  <c r="AJ140"/>
  <c r="AJ136"/>
  <c r="AJ132"/>
  <c r="AJ123"/>
  <c r="AA129"/>
  <c r="Z129" s="1"/>
  <c r="AA126"/>
  <c r="Z126" s="1"/>
  <c r="AJ141"/>
  <c r="AJ137"/>
  <c r="AJ133"/>
  <c r="AJ124"/>
  <c r="AA121"/>
  <c r="Z121" s="1"/>
  <c r="P29"/>
  <c r="AJ142"/>
  <c r="AJ138"/>
  <c r="AK138" s="1"/>
  <c r="AJ134"/>
  <c r="AJ125"/>
  <c r="AL122"/>
  <c r="AM122" s="1"/>
  <c r="AA130"/>
  <c r="Z130" s="1"/>
  <c r="AA122"/>
  <c r="Z122" s="1"/>
  <c r="AJ139"/>
  <c r="AK139" s="1"/>
  <c r="AJ135"/>
  <c r="AJ126"/>
  <c r="AJ122"/>
  <c r="K136"/>
  <c r="Z132"/>
  <c r="Z136"/>
  <c r="P23" i="8"/>
  <c r="AC127" i="5"/>
  <c r="AB127" s="1"/>
  <c r="AB129"/>
  <c r="P23"/>
  <c r="AC135"/>
  <c r="AB135" s="1"/>
  <c r="AC133"/>
  <c r="AB133" s="1"/>
  <c r="AK141" l="1"/>
  <c r="AD141" s="1"/>
  <c r="AK134"/>
  <c r="AD134" s="1"/>
  <c r="AK137"/>
  <c r="AD137" s="1"/>
  <c r="AK140"/>
  <c r="AD140" s="1"/>
  <c r="K126"/>
  <c r="AK123"/>
  <c r="AD123" s="1"/>
  <c r="P32"/>
  <c r="AK124"/>
  <c r="AD124" s="1"/>
  <c r="AK126"/>
  <c r="AD126" s="1"/>
  <c r="AK125"/>
  <c r="AD125" s="1"/>
  <c r="AK122"/>
  <c r="AD122" s="1"/>
  <c r="AK142"/>
  <c r="AK133"/>
  <c r="AD133" s="1"/>
  <c r="AK136"/>
  <c r="AD136" s="1"/>
  <c r="AK121"/>
  <c r="AD121" s="1"/>
  <c r="AK135"/>
  <c r="AD135" s="1"/>
  <c r="AN143"/>
  <c r="AK132"/>
  <c r="AD132" s="1"/>
  <c r="Q129"/>
  <c r="Q124"/>
  <c r="Q140"/>
  <c r="Q142"/>
  <c r="Q127"/>
  <c r="Q128"/>
  <c r="Q137"/>
  <c r="Q126"/>
  <c r="Q132"/>
  <c r="Q134"/>
  <c r="Q121"/>
  <c r="Q125"/>
  <c r="Q130"/>
  <c r="Q136"/>
  <c r="Q139"/>
  <c r="Q123"/>
  <c r="Q133"/>
  <c r="Q122"/>
  <c r="Q135"/>
  <c r="Q131"/>
  <c r="Q138"/>
  <c r="Q141"/>
  <c r="AD131"/>
  <c r="AD138"/>
  <c r="AD129"/>
  <c r="AD128"/>
  <c r="AD130"/>
  <c r="AD139"/>
  <c r="AD127"/>
  <c r="P131" l="1"/>
  <c r="AH131" s="1"/>
  <c r="AH126"/>
  <c r="P126"/>
  <c r="P132"/>
  <c r="AH132" s="1"/>
  <c r="AH141"/>
  <c r="P141"/>
  <c r="P122"/>
  <c r="AH122" s="1"/>
  <c r="AH136"/>
  <c r="P136"/>
  <c r="P134"/>
  <c r="AH134" s="1"/>
  <c r="AH128"/>
  <c r="P128"/>
  <c r="P135"/>
  <c r="AH135" s="1"/>
  <c r="P139"/>
  <c r="AH139" s="1"/>
  <c r="P121"/>
  <c r="AH121" s="1"/>
  <c r="AH143" s="1"/>
  <c r="AH137"/>
  <c r="P137"/>
  <c r="P140"/>
  <c r="AH140" s="1"/>
  <c r="AH125"/>
  <c r="P125"/>
  <c r="P138"/>
  <c r="AH138" s="1"/>
  <c r="AH130"/>
  <c r="P130"/>
  <c r="P127"/>
  <c r="AH127" s="1"/>
  <c r="AH129"/>
  <c r="P129"/>
  <c r="P123"/>
  <c r="AH123" s="1"/>
  <c r="AH142"/>
  <c r="P142"/>
  <c r="P133"/>
  <c r="AH133" s="1"/>
  <c r="AH124"/>
  <c r="P124"/>
  <c r="AO124"/>
  <c r="AO129"/>
  <c r="AO134"/>
  <c r="AO125"/>
  <c r="AO142"/>
  <c r="AO133"/>
  <c r="AO138"/>
  <c r="AO123"/>
  <c r="AO130"/>
  <c r="AO121"/>
  <c r="AO126"/>
  <c r="AO132"/>
  <c r="AO127"/>
  <c r="AO128"/>
  <c r="AO135"/>
  <c r="AO139"/>
  <c r="AO131"/>
  <c r="AO140"/>
  <c r="AO137"/>
  <c r="AO141"/>
  <c r="AO136"/>
  <c r="AO122"/>
  <c r="AD143"/>
  <c r="AO143" l="1"/>
  <c r="AP138" s="1"/>
  <c r="AQ138" s="1"/>
  <c r="AE141"/>
  <c r="AF141" s="1"/>
  <c r="AE133"/>
  <c r="AF133" s="1"/>
  <c r="AE131"/>
  <c r="AF131" s="1"/>
  <c r="AE126"/>
  <c r="AF126" s="1"/>
  <c r="AE134"/>
  <c r="AF134" s="1"/>
  <c r="AE128"/>
  <c r="AF128" s="1"/>
  <c r="AE124"/>
  <c r="AF124" s="1"/>
  <c r="AE135"/>
  <c r="AF135" s="1"/>
  <c r="AE123"/>
  <c r="AF123" s="1"/>
  <c r="AE121"/>
  <c r="AF121" s="1"/>
  <c r="AE137"/>
  <c r="AF137" s="1"/>
  <c r="AE129"/>
  <c r="AF129" s="1"/>
  <c r="AE140"/>
  <c r="AF140" s="1"/>
  <c r="AE130"/>
  <c r="AF130" s="1"/>
  <c r="AE138"/>
  <c r="AF138" s="1"/>
  <c r="AE132"/>
  <c r="AF132" s="1"/>
  <c r="AE136"/>
  <c r="AF136" s="1"/>
  <c r="AE139"/>
  <c r="AF139" s="1"/>
  <c r="AE142"/>
  <c r="AF142" s="1"/>
  <c r="AE127"/>
  <c r="AF127" s="1"/>
  <c r="AE122"/>
  <c r="AF122" s="1"/>
  <c r="AE125"/>
  <c r="AF125" s="1"/>
  <c r="AI131" l="1"/>
  <c r="AP129"/>
  <c r="AQ129" s="1"/>
  <c r="AG129" s="1"/>
  <c r="AI129" s="1"/>
  <c r="AP140"/>
  <c r="AQ140" s="1"/>
  <c r="AG140" s="1"/>
  <c r="AI140" s="1"/>
  <c r="AP123"/>
  <c r="AQ123" s="1"/>
  <c r="AG123" s="1"/>
  <c r="AI123" s="1"/>
  <c r="AP127"/>
  <c r="AQ127" s="1"/>
  <c r="AG127" s="1"/>
  <c r="AI127" s="1"/>
  <c r="AP131"/>
  <c r="AQ131" s="1"/>
  <c r="AG131" s="1"/>
  <c r="AP139"/>
  <c r="AQ139" s="1"/>
  <c r="AG139" s="1"/>
  <c r="AI139" s="1"/>
  <c r="AP121"/>
  <c r="AQ121" s="1"/>
  <c r="AP130"/>
  <c r="AQ130" s="1"/>
  <c r="AG130" s="1"/>
  <c r="AI130" s="1"/>
  <c r="AP134"/>
  <c r="AQ134" s="1"/>
  <c r="AG134" s="1"/>
  <c r="AI134" s="1"/>
  <c r="AP137"/>
  <c r="AQ137" s="1"/>
  <c r="AG137" s="1"/>
  <c r="AI137" s="1"/>
  <c r="AP124"/>
  <c r="AP132"/>
  <c r="AP136"/>
  <c r="AQ136" s="1"/>
  <c r="AG136" s="1"/>
  <c r="AI136" s="1"/>
  <c r="AP128"/>
  <c r="AP126"/>
  <c r="AP142"/>
  <c r="AP133"/>
  <c r="AP125"/>
  <c r="AQ125" s="1"/>
  <c r="AG125" s="1"/>
  <c r="AI125" s="1"/>
  <c r="AP141"/>
  <c r="AP135"/>
  <c r="AP122"/>
  <c r="AQ122" s="1"/>
  <c r="AG122" s="1"/>
  <c r="AI122" s="1"/>
  <c r="AF143"/>
  <c r="AG138"/>
  <c r="AI138" s="1"/>
  <c r="AE143"/>
  <c r="AQ135" l="1"/>
  <c r="AG135" s="1"/>
  <c r="AI135" s="1"/>
  <c r="AQ132"/>
  <c r="AG132" s="1"/>
  <c r="AI132" s="1"/>
  <c r="AQ133"/>
  <c r="AG133" s="1"/>
  <c r="AI133" s="1"/>
  <c r="AQ128"/>
  <c r="AG128" s="1"/>
  <c r="AI128" s="1"/>
  <c r="AQ142"/>
  <c r="AG142" s="1"/>
  <c r="AI142" s="1"/>
  <c r="AQ141"/>
  <c r="AG141" s="1"/>
  <c r="AI141" s="1"/>
  <c r="AQ126"/>
  <c r="AG126" s="1"/>
  <c r="AI126" s="1"/>
  <c r="AQ124"/>
  <c r="AG124" s="1"/>
  <c r="AI124" s="1"/>
  <c r="AG121"/>
  <c r="AI121" s="1"/>
  <c r="AP143"/>
  <c r="AQ143" l="1"/>
  <c r="AI143"/>
  <c r="AG143"/>
</calcChain>
</file>

<file path=xl/sharedStrings.xml><?xml version="1.0" encoding="utf-8"?>
<sst xmlns="http://schemas.openxmlformats.org/spreadsheetml/2006/main" count="806" uniqueCount="625">
  <si>
    <t>Date</t>
  </si>
  <si>
    <t>Decision</t>
  </si>
  <si>
    <t>Toss won by</t>
  </si>
  <si>
    <t>Team 1</t>
  </si>
  <si>
    <t>Team 2</t>
  </si>
  <si>
    <t>1st Innings Team</t>
  </si>
  <si>
    <t>Batsman</t>
  </si>
  <si>
    <t>Name</t>
  </si>
  <si>
    <t>How Out</t>
  </si>
  <si>
    <t>Bowler</t>
  </si>
  <si>
    <t>Runs</t>
  </si>
  <si>
    <t>4s</t>
  </si>
  <si>
    <t>Balls Faced</t>
  </si>
  <si>
    <t>6s</t>
  </si>
  <si>
    <t>Wides (cross with dots in quarters for each extra run)</t>
  </si>
  <si>
    <t xml:space="preserve">No Balls (circle around that ball score record) </t>
  </si>
  <si>
    <t>Byes (B with small number to the right indicating how many byes)</t>
  </si>
  <si>
    <t>Leg byes (L with small number to the right indicating how many leg byes)</t>
  </si>
  <si>
    <t>FOW</t>
  </si>
  <si>
    <t>Score</t>
  </si>
  <si>
    <t>Wicket</t>
  </si>
  <si>
    <t>Not Out</t>
  </si>
  <si>
    <t>O</t>
  </si>
  <si>
    <t>M</t>
  </si>
  <si>
    <t>R</t>
  </si>
  <si>
    <t>W</t>
  </si>
  <si>
    <t>w</t>
  </si>
  <si>
    <t>nb</t>
  </si>
  <si>
    <t>SR</t>
  </si>
  <si>
    <t>Ave</t>
  </si>
  <si>
    <t>RPO</t>
  </si>
  <si>
    <t>Umpires</t>
  </si>
  <si>
    <t>Scorers</t>
  </si>
  <si>
    <t>Fielding Captain</t>
  </si>
  <si>
    <t>2nd Innings Team</t>
  </si>
  <si>
    <t>Result</t>
  </si>
  <si>
    <t>MoM</t>
  </si>
  <si>
    <t>Teams</t>
  </si>
  <si>
    <t>WISCI</t>
  </si>
  <si>
    <t>Ceylon</t>
  </si>
  <si>
    <t>Emerio</t>
  </si>
  <si>
    <t>Barbarians</t>
  </si>
  <si>
    <t>Indorama</t>
  </si>
  <si>
    <t>Menara</t>
  </si>
  <si>
    <t>GMIS</t>
  </si>
  <si>
    <t>Challengers</t>
  </si>
  <si>
    <t>Mavecrics</t>
  </si>
  <si>
    <t>TKCC</t>
  </si>
  <si>
    <t>Jaguars</t>
  </si>
  <si>
    <t>Totals</t>
  </si>
  <si>
    <t>Batting/Bowling check</t>
  </si>
  <si>
    <t>Bowl</t>
  </si>
  <si>
    <t>Bowled</t>
  </si>
  <si>
    <t>LBW</t>
  </si>
  <si>
    <t>Desandri</t>
  </si>
  <si>
    <t xml:space="preserve">Bat </t>
  </si>
  <si>
    <t>Game Type</t>
  </si>
  <si>
    <t>35 overs</t>
  </si>
  <si>
    <t>T20</t>
  </si>
  <si>
    <t>Friendly</t>
  </si>
  <si>
    <t>Ground</t>
  </si>
  <si>
    <t>Cibubur</t>
  </si>
  <si>
    <t>Purnakata</t>
  </si>
  <si>
    <t>Pancawati</t>
  </si>
  <si>
    <t>Karawaci</t>
  </si>
  <si>
    <t>Other</t>
  </si>
  <si>
    <t xml:space="preserve">Remarks: </t>
  </si>
  <si>
    <t>Fielder</t>
  </si>
  <si>
    <t>Caught</t>
  </si>
  <si>
    <t>Stumped</t>
  </si>
  <si>
    <t>Run Out</t>
  </si>
  <si>
    <t>Hit Wicket</t>
  </si>
  <si>
    <t>Handled Ball</t>
  </si>
  <si>
    <t>Interfering with Field</t>
  </si>
  <si>
    <t>Out b/m</t>
  </si>
  <si>
    <t>no b/m</t>
  </si>
  <si>
    <t>for</t>
  </si>
  <si>
    <t>wickets</t>
  </si>
  <si>
    <t>Total Score</t>
  </si>
  <si>
    <t>Total extras</t>
  </si>
  <si>
    <t>Boundary balls</t>
  </si>
  <si>
    <t>Dot balls</t>
  </si>
  <si>
    <t>Fielding wicket keeper</t>
  </si>
  <si>
    <t>Bowlers: Name</t>
  </si>
  <si>
    <t>Amila</t>
  </si>
  <si>
    <t>Asif</t>
  </si>
  <si>
    <t>Sambi</t>
  </si>
  <si>
    <t>Gamantika</t>
  </si>
  <si>
    <t>Puji</t>
  </si>
  <si>
    <t>WPPIndia</t>
  </si>
  <si>
    <t>SenayanLions</t>
  </si>
  <si>
    <t>FezRebels</t>
  </si>
  <si>
    <t>DKISTigers</t>
  </si>
  <si>
    <t>MetroIndians</t>
  </si>
  <si>
    <t>Sub (if used)</t>
  </si>
  <si>
    <r>
      <t xml:space="preserve">Aman </t>
    </r>
    <r>
      <rPr>
        <sz val="11"/>
        <color theme="0" tint="-0.499984740745262"/>
        <rFont val="Calibri"/>
        <family val="2"/>
        <scheme val="minor"/>
      </rPr>
      <t>Singh</t>
    </r>
  </si>
  <si>
    <r>
      <t>Ajantha</t>
    </r>
    <r>
      <rPr>
        <sz val="11"/>
        <color theme="0" tint="-0.499984740745262"/>
        <rFont val="Calibri"/>
        <family val="2"/>
        <scheme val="minor"/>
      </rPr>
      <t xml:space="preserve"> Thenuwara</t>
    </r>
  </si>
  <si>
    <r>
      <t>Anjaneyulu</t>
    </r>
    <r>
      <rPr>
        <sz val="11"/>
        <color theme="0" tint="-0.499984740745262"/>
        <rFont val="Calibri"/>
        <family val="2"/>
        <scheme val="minor"/>
      </rPr>
      <t xml:space="preserve"> Katta</t>
    </r>
  </si>
  <si>
    <r>
      <t>Andrew</t>
    </r>
    <r>
      <rPr>
        <sz val="11"/>
        <color theme="0" tint="-0.499984740745262"/>
        <rFont val="Calibri"/>
        <family val="2"/>
        <scheme val="minor"/>
      </rPr>
      <t xml:space="preserve"> Barnes</t>
    </r>
  </si>
  <si>
    <r>
      <t>Abhishek</t>
    </r>
    <r>
      <rPr>
        <sz val="11"/>
        <color theme="0" tint="-0.499984740745262"/>
        <rFont val="Calibri"/>
        <family val="2"/>
        <scheme val="minor"/>
      </rPr>
      <t xml:space="preserve"> Sinha</t>
    </r>
  </si>
  <si>
    <r>
      <t>Ajay</t>
    </r>
    <r>
      <rPr>
        <sz val="11"/>
        <color theme="0" tint="-0.499984740745262"/>
        <rFont val="Calibri"/>
        <family val="2"/>
        <scheme val="minor"/>
      </rPr>
      <t xml:space="preserve"> Sharma</t>
    </r>
  </si>
  <si>
    <r>
      <t>Ajay</t>
    </r>
    <r>
      <rPr>
        <sz val="11"/>
        <color theme="0" tint="-0.499984740745262"/>
        <rFont val="Calibri"/>
        <family val="2"/>
        <scheme val="minor"/>
      </rPr>
      <t xml:space="preserve"> Jawal</t>
    </r>
  </si>
  <si>
    <r>
      <t>Ambuj</t>
    </r>
    <r>
      <rPr>
        <sz val="11"/>
        <color theme="0" tint="-0.499984740745262"/>
        <rFont val="Calibri"/>
        <family val="2"/>
        <scheme val="minor"/>
      </rPr>
      <t xml:space="preserve"> Dubey</t>
    </r>
  </si>
  <si>
    <r>
      <t>Avinash</t>
    </r>
    <r>
      <rPr>
        <sz val="11"/>
        <color theme="0" tint="-0.499984740745262"/>
        <rFont val="Calibri"/>
        <family val="2"/>
        <scheme val="minor"/>
      </rPr>
      <t xml:space="preserve"> Pal</t>
    </r>
  </si>
  <si>
    <r>
      <t>Andy</t>
    </r>
    <r>
      <rPr>
        <sz val="11"/>
        <color theme="0" tint="-0.499984740745262"/>
        <rFont val="Calibri"/>
        <family val="2"/>
        <scheme val="minor"/>
      </rPr>
      <t xml:space="preserve"> Murry</t>
    </r>
  </si>
  <si>
    <r>
      <t>Adarsh</t>
    </r>
    <r>
      <rPr>
        <sz val="11"/>
        <color theme="0" tint="-0.499984740745262"/>
        <rFont val="Calibri"/>
        <family val="2"/>
        <scheme val="minor"/>
      </rPr>
      <t xml:space="preserve"> Srikkanth</t>
    </r>
  </si>
  <si>
    <r>
      <t>Ajeet</t>
    </r>
    <r>
      <rPr>
        <sz val="11"/>
        <color theme="0" tint="-0.499984740745262"/>
        <rFont val="Calibri"/>
        <family val="2"/>
        <scheme val="minor"/>
      </rPr>
      <t xml:space="preserve"> Bhatt</t>
    </r>
  </si>
  <si>
    <r>
      <t>Ajit</t>
    </r>
    <r>
      <rPr>
        <sz val="11"/>
        <color theme="0" tint="-0.499984740745262"/>
        <rFont val="Calibri"/>
        <family val="2"/>
        <scheme val="minor"/>
      </rPr>
      <t xml:space="preserve"> Prabhu</t>
    </r>
  </si>
  <si>
    <r>
      <t>Ambuj</t>
    </r>
    <r>
      <rPr>
        <sz val="11"/>
        <color theme="0" tint="-0.499984740745262"/>
        <rFont val="Calibri"/>
        <family val="2"/>
        <scheme val="minor"/>
      </rPr>
      <t xml:space="preserve"> Singh</t>
    </r>
  </si>
  <si>
    <r>
      <t xml:space="preserve">Anil </t>
    </r>
    <r>
      <rPr>
        <sz val="11"/>
        <color theme="0" tint="-0.499984740745262"/>
        <rFont val="Calibri"/>
        <family val="2"/>
        <scheme val="minor"/>
      </rPr>
      <t>Kaul</t>
    </r>
  </si>
  <si>
    <r>
      <t>Bharath</t>
    </r>
    <r>
      <rPr>
        <sz val="11"/>
        <color theme="0" tint="-0.499984740745262"/>
        <rFont val="Calibri"/>
        <family val="2"/>
        <scheme val="minor"/>
      </rPr>
      <t xml:space="preserve"> Paramasivam</t>
    </r>
  </si>
  <si>
    <r>
      <t>Ben</t>
    </r>
    <r>
      <rPr>
        <sz val="11"/>
        <color theme="0" tint="-0.499984740745262"/>
        <rFont val="Calibri"/>
        <family val="2"/>
        <scheme val="minor"/>
      </rPr>
      <t xml:space="preserve"> Burgess</t>
    </r>
  </si>
  <si>
    <r>
      <t>Arjun</t>
    </r>
    <r>
      <rPr>
        <sz val="11"/>
        <color theme="0" tint="-0.499984740745262"/>
        <rFont val="Calibri"/>
        <family val="2"/>
        <scheme val="minor"/>
      </rPr>
      <t xml:space="preserve"> Chauhan</t>
    </r>
  </si>
  <si>
    <r>
      <t>Ashutosh</t>
    </r>
    <r>
      <rPr>
        <sz val="11"/>
        <color theme="0" tint="-0.499984740745262"/>
        <rFont val="Calibri"/>
        <family val="2"/>
        <scheme val="minor"/>
      </rPr>
      <t xml:space="preserve"> Mishra</t>
    </r>
  </si>
  <si>
    <r>
      <t>Anant</t>
    </r>
    <r>
      <rPr>
        <sz val="11"/>
        <color theme="0" tint="-0.499984740745262"/>
        <rFont val="Calibri"/>
        <family val="2"/>
        <scheme val="minor"/>
      </rPr>
      <t xml:space="preserve"> Bhake</t>
    </r>
  </si>
  <si>
    <r>
      <t>Anil Kumar</t>
    </r>
    <r>
      <rPr>
        <sz val="11"/>
        <color theme="0" tint="-0.499984740745262"/>
        <rFont val="Calibri"/>
        <family val="2"/>
        <scheme val="minor"/>
      </rPr>
      <t xml:space="preserve"> Verma</t>
    </r>
  </si>
  <si>
    <r>
      <t>David</t>
    </r>
    <r>
      <rPr>
        <sz val="11"/>
        <color theme="0" tint="-0.499984740745262"/>
        <rFont val="Calibri"/>
        <family val="2"/>
        <scheme val="minor"/>
      </rPr>
      <t xml:space="preserve"> Surjit</t>
    </r>
  </si>
  <si>
    <r>
      <t>Ben</t>
    </r>
    <r>
      <rPr>
        <sz val="11"/>
        <color theme="0" tint="-0.499984740745262"/>
        <rFont val="Calibri"/>
        <family val="2"/>
        <scheme val="minor"/>
      </rPr>
      <t xml:space="preserve"> CORBETT</t>
    </r>
  </si>
  <si>
    <r>
      <t>Ashish</t>
    </r>
    <r>
      <rPr>
        <sz val="11"/>
        <color theme="0" tint="-0.499984740745262"/>
        <rFont val="Calibri"/>
        <family val="2"/>
        <scheme val="minor"/>
      </rPr>
      <t xml:space="preserve"> Khaitan</t>
    </r>
  </si>
  <si>
    <r>
      <t>Bob</t>
    </r>
    <r>
      <rPr>
        <sz val="11"/>
        <color theme="0" tint="-0.499984740745262"/>
        <rFont val="Calibri"/>
        <family val="2"/>
        <scheme val="minor"/>
      </rPr>
      <t xml:space="preserve"> Plath</t>
    </r>
  </si>
  <si>
    <r>
      <t>Ayushman</t>
    </r>
    <r>
      <rPr>
        <sz val="11"/>
        <color theme="0" tint="-0.499984740745262"/>
        <rFont val="Calibri"/>
        <family val="2"/>
        <scheme val="minor"/>
      </rPr>
      <t xml:space="preserve"> Saboo</t>
    </r>
  </si>
  <si>
    <r>
      <t>Govind</t>
    </r>
    <r>
      <rPr>
        <sz val="11"/>
        <color theme="0" tint="-0.499984740745262"/>
        <rFont val="Calibri"/>
        <family val="2"/>
        <scheme val="minor"/>
      </rPr>
      <t xml:space="preserve"> Sodani</t>
    </r>
  </si>
  <si>
    <r>
      <t>Anuj</t>
    </r>
    <r>
      <rPr>
        <sz val="11"/>
        <color theme="0" tint="-0.499984740745262"/>
        <rFont val="Calibri"/>
        <family val="2"/>
        <scheme val="minor"/>
      </rPr>
      <t xml:space="preserve"> Banerjee</t>
    </r>
  </si>
  <si>
    <r>
      <t>Avinash</t>
    </r>
    <r>
      <rPr>
        <sz val="11"/>
        <color theme="0" tint="-0.499984740745262"/>
        <rFont val="Calibri"/>
        <family val="2"/>
        <scheme val="minor"/>
      </rPr>
      <t xml:space="preserve"> Pareek</t>
    </r>
  </si>
  <si>
    <r>
      <t>Asanka</t>
    </r>
    <r>
      <rPr>
        <sz val="11"/>
        <color theme="0" tint="-0.499984740745262"/>
        <rFont val="Calibri"/>
        <family val="2"/>
        <scheme val="minor"/>
      </rPr>
      <t xml:space="preserve"> De Saram</t>
    </r>
  </si>
  <si>
    <r>
      <t>Harish</t>
    </r>
    <r>
      <rPr>
        <sz val="11"/>
        <color theme="0" tint="-0.499984740745262"/>
        <rFont val="Calibri"/>
        <family val="2"/>
        <scheme val="minor"/>
      </rPr>
      <t xml:space="preserve"> Vaidyanathan</t>
    </r>
  </si>
  <si>
    <r>
      <t>BIS</t>
    </r>
    <r>
      <rPr>
        <sz val="11"/>
        <color theme="0" tint="-0.499984740745262"/>
        <rFont val="Calibri"/>
        <family val="2"/>
        <scheme val="minor"/>
      </rPr>
      <t xml:space="preserve"> BIS</t>
    </r>
  </si>
  <si>
    <r>
      <t>Bubun</t>
    </r>
    <r>
      <rPr>
        <sz val="11"/>
        <color theme="0" tint="-0.499984740745262"/>
        <rFont val="Calibri"/>
        <family val="2"/>
        <scheme val="minor"/>
      </rPr>
      <t xml:space="preserve"> Bubun</t>
    </r>
  </si>
  <si>
    <r>
      <t>Bharat</t>
    </r>
    <r>
      <rPr>
        <sz val="11"/>
        <color theme="0" tint="-0.499984740745262"/>
        <rFont val="Calibri"/>
        <family val="2"/>
        <scheme val="minor"/>
      </rPr>
      <t xml:space="preserve"> Dholakhandi</t>
    </r>
  </si>
  <si>
    <r>
      <t>Chetan</t>
    </r>
    <r>
      <rPr>
        <sz val="11"/>
        <color theme="0" tint="-0.499984740745262"/>
        <rFont val="Calibri"/>
        <family val="2"/>
        <scheme val="minor"/>
      </rPr>
      <t xml:space="preserve"> Porwal</t>
    </r>
  </si>
  <si>
    <r>
      <t>Joel</t>
    </r>
    <r>
      <rPr>
        <sz val="11"/>
        <color theme="0" tint="-0.499984740745262"/>
        <rFont val="Calibri"/>
        <family val="2"/>
        <scheme val="minor"/>
      </rPr>
      <t xml:space="preserve"> Roy</t>
    </r>
  </si>
  <si>
    <r>
      <t>Damian</t>
    </r>
    <r>
      <rPr>
        <sz val="11"/>
        <color theme="0" tint="-0.499984740745262"/>
        <rFont val="Calibri"/>
        <family val="2"/>
        <scheme val="minor"/>
      </rPr>
      <t xml:space="preserve"> Ross</t>
    </r>
  </si>
  <si>
    <r>
      <t>Deepak</t>
    </r>
    <r>
      <rPr>
        <sz val="11"/>
        <color theme="0" tint="-0.499984740745262"/>
        <rFont val="Calibri"/>
        <family val="2"/>
        <scheme val="minor"/>
      </rPr>
      <t xml:space="preserve"> Kedia</t>
    </r>
  </si>
  <si>
    <r>
      <t>Deepak</t>
    </r>
    <r>
      <rPr>
        <sz val="11"/>
        <color theme="0" tint="-0.499984740745262"/>
        <rFont val="Calibri"/>
        <family val="2"/>
        <scheme val="minor"/>
      </rPr>
      <t xml:space="preserve"> Sarna</t>
    </r>
  </si>
  <si>
    <r>
      <t>Gaurav</t>
    </r>
    <r>
      <rPr>
        <sz val="11"/>
        <color theme="0" tint="-0.499984740745262"/>
        <rFont val="Calibri"/>
        <family val="2"/>
        <scheme val="minor"/>
      </rPr>
      <t xml:space="preserve"> Tiwari</t>
    </r>
  </si>
  <si>
    <r>
      <t>Bradley</t>
    </r>
    <r>
      <rPr>
        <sz val="11"/>
        <color theme="0" tint="-0.499984740745262"/>
        <rFont val="Calibri"/>
        <family val="2"/>
        <scheme val="minor"/>
      </rPr>
      <t xml:space="preserve"> Dam</t>
    </r>
  </si>
  <si>
    <r>
      <t>Avakash</t>
    </r>
    <r>
      <rPr>
        <sz val="11"/>
        <color theme="0" tint="-0.499984740745262"/>
        <rFont val="Calibri"/>
        <family val="2"/>
        <scheme val="minor"/>
      </rPr>
      <t xml:space="preserve"> Lohia</t>
    </r>
  </si>
  <si>
    <r>
      <t>Kapil</t>
    </r>
    <r>
      <rPr>
        <sz val="11"/>
        <color theme="0" tint="-0.499984740745262"/>
        <rFont val="Calibri"/>
        <family val="2"/>
        <scheme val="minor"/>
      </rPr>
      <t xml:space="preserve"> Goel</t>
    </r>
  </si>
  <si>
    <r>
      <t>Diwakar</t>
    </r>
    <r>
      <rPr>
        <sz val="11"/>
        <color theme="0" tint="-0.499984740745262"/>
        <rFont val="Calibri"/>
        <family val="2"/>
        <scheme val="minor"/>
      </rPr>
      <t xml:space="preserve"> Mohan</t>
    </r>
  </si>
  <si>
    <r>
      <t>Gaurav</t>
    </r>
    <r>
      <rPr>
        <sz val="11"/>
        <color theme="0" tint="-0.499984740745262"/>
        <rFont val="Calibri"/>
        <family val="2"/>
        <scheme val="minor"/>
      </rPr>
      <t xml:space="preserve"> Jha</t>
    </r>
  </si>
  <si>
    <r>
      <t>David</t>
    </r>
    <r>
      <rPr>
        <sz val="11"/>
        <color theme="0" tint="-0.499984740745262"/>
        <rFont val="Calibri"/>
        <family val="2"/>
        <scheme val="minor"/>
      </rPr>
      <t xml:space="preserve"> Holme</t>
    </r>
  </si>
  <si>
    <r>
      <t>Chinthaka</t>
    </r>
    <r>
      <rPr>
        <sz val="11"/>
        <color theme="0" tint="-0.499984740745262"/>
        <rFont val="Calibri"/>
        <family val="2"/>
        <scheme val="minor"/>
      </rPr>
      <t xml:space="preserve"> Walahapitiya</t>
    </r>
  </si>
  <si>
    <r>
      <t>Maneesh</t>
    </r>
    <r>
      <rPr>
        <sz val="11"/>
        <color theme="0" tint="-0.499984740745262"/>
        <rFont val="Calibri"/>
        <family val="2"/>
        <scheme val="minor"/>
      </rPr>
      <t xml:space="preserve"> Dubey</t>
    </r>
  </si>
  <si>
    <r>
      <t>Eki</t>
    </r>
    <r>
      <rPr>
        <sz val="11"/>
        <color theme="0" tint="-0.499984740745262"/>
        <rFont val="Calibri"/>
        <family val="2"/>
        <scheme val="minor"/>
      </rPr>
      <t xml:space="preserve"> Antaria</t>
    </r>
  </si>
  <si>
    <r>
      <t>Karyadi</t>
    </r>
    <r>
      <rPr>
        <sz val="11"/>
        <color theme="0" tint="-0.499984740745262"/>
        <rFont val="Calibri"/>
        <family val="2"/>
        <scheme val="minor"/>
      </rPr>
      <t xml:space="preserve"> Karyadi</t>
    </r>
  </si>
  <si>
    <r>
      <t>Giri</t>
    </r>
    <r>
      <rPr>
        <sz val="11"/>
        <color theme="0" tint="-0.499984740745262"/>
        <rFont val="Calibri"/>
        <family val="2"/>
        <scheme val="minor"/>
      </rPr>
      <t xml:space="preserve"> Vijay</t>
    </r>
  </si>
  <si>
    <r>
      <t>Hetal</t>
    </r>
    <r>
      <rPr>
        <sz val="11"/>
        <color theme="0" tint="-0.499984740745262"/>
        <rFont val="Calibri"/>
        <family val="2"/>
        <scheme val="minor"/>
      </rPr>
      <t xml:space="preserve"> Patel</t>
    </r>
  </si>
  <si>
    <r>
      <t>Deepak</t>
    </r>
    <r>
      <rPr>
        <sz val="11"/>
        <color theme="0" tint="-0.499984740745262"/>
        <rFont val="Calibri"/>
        <family val="2"/>
        <scheme val="minor"/>
      </rPr>
      <t xml:space="preserve"> Singh</t>
    </r>
  </si>
  <si>
    <r>
      <t>Dhammika</t>
    </r>
    <r>
      <rPr>
        <sz val="11"/>
        <color theme="0" tint="-0.499984740745262"/>
        <rFont val="Calibri"/>
        <family val="2"/>
        <scheme val="minor"/>
      </rPr>
      <t xml:space="preserve"> Bandara</t>
    </r>
  </si>
  <si>
    <r>
      <t>Manikandan</t>
    </r>
    <r>
      <rPr>
        <sz val="11"/>
        <color theme="0" tint="-0.499984740745262"/>
        <rFont val="Calibri"/>
        <family val="2"/>
        <scheme val="minor"/>
      </rPr>
      <t xml:space="preserve"> Chandrashekar</t>
    </r>
  </si>
  <si>
    <r>
      <t>Enzo</t>
    </r>
    <r>
      <rPr>
        <sz val="11"/>
        <color theme="0" tint="-0.499984740745262"/>
        <rFont val="Calibri"/>
        <family val="2"/>
        <scheme val="minor"/>
      </rPr>
      <t xml:space="preserve"> Dimenna</t>
    </r>
  </si>
  <si>
    <r>
      <t>Kaushik</t>
    </r>
    <r>
      <rPr>
        <sz val="11"/>
        <color theme="0" tint="-0.499984740745262"/>
        <rFont val="Calibri"/>
        <family val="2"/>
        <scheme val="minor"/>
      </rPr>
      <t xml:space="preserve"> Vishvanath</t>
    </r>
  </si>
  <si>
    <r>
      <t>Ishan</t>
    </r>
    <r>
      <rPr>
        <sz val="11"/>
        <color theme="0" tint="-0.499984740745262"/>
        <rFont val="Calibri"/>
        <family val="2"/>
        <scheme val="minor"/>
      </rPr>
      <t xml:space="preserve"> Daniel</t>
    </r>
  </si>
  <si>
    <r>
      <t>Ishwar</t>
    </r>
    <r>
      <rPr>
        <sz val="11"/>
        <color theme="0" tint="-0.499984740745262"/>
        <rFont val="Calibri"/>
        <family val="2"/>
        <scheme val="minor"/>
      </rPr>
      <t xml:space="preserve"> Thakkar</t>
    </r>
  </si>
  <si>
    <r>
      <t>Dihan</t>
    </r>
    <r>
      <rPr>
        <sz val="11"/>
        <color theme="0" tint="-0.499984740745262"/>
        <rFont val="Calibri"/>
        <family val="2"/>
        <scheme val="minor"/>
      </rPr>
      <t xml:space="preserve"> Silva</t>
    </r>
  </si>
  <si>
    <r>
      <t>Manoj</t>
    </r>
    <r>
      <rPr>
        <sz val="11"/>
        <color theme="0" tint="-0.499984740745262"/>
        <rFont val="Calibri"/>
        <family val="2"/>
        <scheme val="minor"/>
      </rPr>
      <t xml:space="preserve"> Tanpure</t>
    </r>
  </si>
  <si>
    <r>
      <t>Jeremy</t>
    </r>
    <r>
      <rPr>
        <sz val="11"/>
        <color theme="0" tint="-0.499984740745262"/>
        <rFont val="Calibri"/>
        <family val="2"/>
        <scheme val="minor"/>
      </rPr>
      <t xml:space="preserve"> Roland</t>
    </r>
  </si>
  <si>
    <r>
      <t>Nakul</t>
    </r>
    <r>
      <rPr>
        <sz val="11"/>
        <color theme="0" tint="-0.499984740745262"/>
        <rFont val="Calibri"/>
        <family val="2"/>
        <scheme val="minor"/>
      </rPr>
      <t xml:space="preserve"> Boora</t>
    </r>
  </si>
  <si>
    <r>
      <t>Jalaj</t>
    </r>
    <r>
      <rPr>
        <sz val="11"/>
        <color theme="0" tint="-0.499984740745262"/>
        <rFont val="Calibri"/>
        <family val="2"/>
        <scheme val="minor"/>
      </rPr>
      <t xml:space="preserve"> Chaturvedi</t>
    </r>
  </si>
  <si>
    <r>
      <t>Jatinder</t>
    </r>
    <r>
      <rPr>
        <sz val="11"/>
        <color theme="0" tint="-0.499984740745262"/>
        <rFont val="Calibri"/>
        <family val="2"/>
        <scheme val="minor"/>
      </rPr>
      <t xml:space="preserve"> Sandhu</t>
    </r>
  </si>
  <si>
    <r>
      <t>Gaurav</t>
    </r>
    <r>
      <rPr>
        <sz val="11"/>
        <color theme="0" tint="-0.499984740745262"/>
        <rFont val="Calibri"/>
        <family val="2"/>
        <scheme val="minor"/>
      </rPr>
      <t xml:space="preserve"> Kapoor</t>
    </r>
  </si>
  <si>
    <r>
      <t>Nagraj</t>
    </r>
    <r>
      <rPr>
        <sz val="11"/>
        <color theme="0" tint="-0.499984740745262"/>
        <rFont val="Calibri"/>
        <family val="2"/>
        <scheme val="minor"/>
      </rPr>
      <t xml:space="preserve"> Bitla</t>
    </r>
  </si>
  <si>
    <r>
      <t>Jon</t>
    </r>
    <r>
      <rPr>
        <sz val="11"/>
        <color theme="0" tint="-0.499984740745262"/>
        <rFont val="Calibri"/>
        <family val="2"/>
        <scheme val="minor"/>
      </rPr>
      <t xml:space="preserve"> Baker</t>
    </r>
  </si>
  <si>
    <r>
      <t>Nitin</t>
    </r>
    <r>
      <rPr>
        <sz val="11"/>
        <color theme="0" tint="-0.499984740745262"/>
        <rFont val="Calibri"/>
        <family val="2"/>
        <scheme val="minor"/>
      </rPr>
      <t xml:space="preserve"> Joshi</t>
    </r>
  </si>
  <si>
    <r>
      <t>Manish</t>
    </r>
    <r>
      <rPr>
        <sz val="11"/>
        <color theme="0" tint="-0.499984740745262"/>
        <rFont val="Calibri"/>
        <family val="2"/>
        <scheme val="minor"/>
      </rPr>
      <t xml:space="preserve"> Semwal</t>
    </r>
  </si>
  <si>
    <r>
      <t>Karan</t>
    </r>
    <r>
      <rPr>
        <sz val="11"/>
        <color theme="0" tint="-0.499984740745262"/>
        <rFont val="Calibri"/>
        <family val="2"/>
        <scheme val="minor"/>
      </rPr>
      <t xml:space="preserve"> Tiwary</t>
    </r>
  </si>
  <si>
    <r>
      <t>Greg</t>
    </r>
    <r>
      <rPr>
        <sz val="11"/>
        <color theme="0" tint="-0.499984740745262"/>
        <rFont val="Calibri"/>
        <family val="2"/>
        <scheme val="minor"/>
      </rPr>
      <t xml:space="preserve"> Haine</t>
    </r>
  </si>
  <si>
    <r>
      <t>Kanha</t>
    </r>
    <r>
      <rPr>
        <sz val="11"/>
        <color theme="0" tint="-0.499984740745262"/>
        <rFont val="Calibri"/>
        <family val="2"/>
        <scheme val="minor"/>
      </rPr>
      <t xml:space="preserve"> Kanha</t>
    </r>
  </si>
  <si>
    <r>
      <t>Palwinder</t>
    </r>
    <r>
      <rPr>
        <sz val="11"/>
        <color theme="0" tint="-0.499984740745262"/>
        <rFont val="Calibri"/>
        <family val="2"/>
        <scheme val="minor"/>
      </rPr>
      <t xml:space="preserve"> Singh</t>
    </r>
  </si>
  <si>
    <r>
      <t>Josh Van</t>
    </r>
    <r>
      <rPr>
        <sz val="11"/>
        <color theme="0" tint="-0.499984740745262"/>
        <rFont val="Calibri"/>
        <family val="2"/>
        <scheme val="minor"/>
      </rPr>
      <t xml:space="preserve"> Vianen</t>
    </r>
  </si>
  <si>
    <r>
      <t>PC</t>
    </r>
    <r>
      <rPr>
        <sz val="11"/>
        <color theme="0" tint="-0.499984740745262"/>
        <rFont val="Calibri"/>
        <family val="2"/>
        <scheme val="minor"/>
      </rPr>
      <t xml:space="preserve"> Sethi</t>
    </r>
  </si>
  <si>
    <r>
      <t>Maulik Umesh</t>
    </r>
    <r>
      <rPr>
        <sz val="11"/>
        <color theme="0" tint="-0.499984740745262"/>
        <rFont val="Calibri"/>
        <family val="2"/>
        <scheme val="minor"/>
      </rPr>
      <t xml:space="preserve"> Trivedi</t>
    </r>
  </si>
  <si>
    <r>
      <t>Naresh</t>
    </r>
    <r>
      <rPr>
        <sz val="11"/>
        <color theme="0" tint="-0.499984740745262"/>
        <rFont val="Calibri"/>
        <family val="2"/>
        <scheme val="minor"/>
      </rPr>
      <t xml:space="preserve"> Gupta</t>
    </r>
  </si>
  <si>
    <r>
      <t>Keyur</t>
    </r>
    <r>
      <rPr>
        <sz val="11"/>
        <color theme="0" tint="-0.499984740745262"/>
        <rFont val="Calibri"/>
        <family val="2"/>
        <scheme val="minor"/>
      </rPr>
      <t xml:space="preserve"> Moradia</t>
    </r>
  </si>
  <si>
    <r>
      <t>HImanshu</t>
    </r>
    <r>
      <rPr>
        <sz val="11"/>
        <color theme="0" tint="-0.499984740745262"/>
        <rFont val="Calibri"/>
        <family val="2"/>
        <scheme val="minor"/>
      </rPr>
      <t xml:space="preserve"> Shekhar</t>
    </r>
  </si>
  <si>
    <r>
      <t>Kesavadas</t>
    </r>
    <r>
      <rPr>
        <sz val="11"/>
        <color theme="0" tint="-0.499984740745262"/>
        <rFont val="Calibri"/>
        <family val="2"/>
        <scheme val="minor"/>
      </rPr>
      <t xml:space="preserve"> Ravindran</t>
    </r>
  </si>
  <si>
    <r>
      <t>Pavan Kumar</t>
    </r>
    <r>
      <rPr>
        <sz val="11"/>
        <color theme="0" tint="-0.499984740745262"/>
        <rFont val="Calibri"/>
        <family val="2"/>
        <scheme val="minor"/>
      </rPr>
      <t xml:space="preserve"> Garimella</t>
    </r>
  </si>
  <si>
    <r>
      <t>Justin</t>
    </r>
    <r>
      <rPr>
        <sz val="11"/>
        <color theme="0" tint="-0.499984740745262"/>
        <rFont val="Calibri"/>
        <family val="2"/>
        <scheme val="minor"/>
      </rPr>
      <t xml:space="preserve"> Horan</t>
    </r>
  </si>
  <si>
    <r>
      <t>R</t>
    </r>
    <r>
      <rPr>
        <sz val="11"/>
        <color theme="0" tint="-0.499984740745262"/>
        <rFont val="Calibri"/>
        <family val="2"/>
        <scheme val="minor"/>
      </rPr>
      <t xml:space="preserve"> Srikkanth</t>
    </r>
  </si>
  <si>
    <r>
      <t xml:space="preserve">Mohammad </t>
    </r>
    <r>
      <rPr>
        <sz val="11"/>
        <color theme="0" tint="-0.499984740745262"/>
        <rFont val="Calibri"/>
        <family val="2"/>
        <scheme val="minor"/>
      </rPr>
      <t>Imran</t>
    </r>
  </si>
  <si>
    <r>
      <t>Kunal</t>
    </r>
    <r>
      <rPr>
        <sz val="11"/>
        <color theme="0" tint="-0.499984740745262"/>
        <rFont val="Calibri"/>
        <family val="2"/>
        <scheme val="minor"/>
      </rPr>
      <t xml:space="preserve"> Malhotra</t>
    </r>
  </si>
  <si>
    <r>
      <t>Jim</t>
    </r>
    <r>
      <rPr>
        <sz val="11"/>
        <color theme="0" tint="-0.499984740745262"/>
        <rFont val="Calibri"/>
        <family val="2"/>
        <scheme val="minor"/>
      </rPr>
      <t xml:space="preserve"> Howlett</t>
    </r>
  </si>
  <si>
    <r>
      <t>Madhav</t>
    </r>
    <r>
      <rPr>
        <sz val="11"/>
        <color theme="0" tint="-0.499984740745262"/>
        <rFont val="Calibri"/>
        <family val="2"/>
        <scheme val="minor"/>
      </rPr>
      <t xml:space="preserve"> Madhav</t>
    </r>
  </si>
  <si>
    <r>
      <t>Preetinder</t>
    </r>
    <r>
      <rPr>
        <sz val="11"/>
        <color theme="0" tint="-0.499984740745262"/>
        <rFont val="Calibri"/>
        <family val="2"/>
        <scheme val="minor"/>
      </rPr>
      <t xml:space="preserve"> Singh</t>
    </r>
  </si>
  <si>
    <r>
      <t>Kookie</t>
    </r>
    <r>
      <rPr>
        <sz val="11"/>
        <color theme="0" tint="-0.499984740745262"/>
        <rFont val="Calibri"/>
        <family val="2"/>
        <scheme val="minor"/>
      </rPr>
      <t xml:space="preserve"> Jambunathan</t>
    </r>
  </si>
  <si>
    <r>
      <t>Sandeep</t>
    </r>
    <r>
      <rPr>
        <sz val="11"/>
        <color theme="0" tint="-0.499984740745262"/>
        <rFont val="Calibri"/>
        <family val="2"/>
        <scheme val="minor"/>
      </rPr>
      <t xml:space="preserve"> Bhandarwar</t>
    </r>
  </si>
  <si>
    <r>
      <t>Mohit Dilawar</t>
    </r>
    <r>
      <rPr>
        <sz val="11"/>
        <color theme="0" tint="-0.499984740745262"/>
        <rFont val="Calibri"/>
        <family val="2"/>
        <scheme val="minor"/>
      </rPr>
      <t xml:space="preserve"> Singh</t>
    </r>
  </si>
  <si>
    <r>
      <t>Rajeev</t>
    </r>
    <r>
      <rPr>
        <sz val="11"/>
        <color theme="0" tint="-0.499984740745262"/>
        <rFont val="Calibri"/>
        <family val="2"/>
        <scheme val="minor"/>
      </rPr>
      <t xml:space="preserve"> Rajeswaran</t>
    </r>
  </si>
  <si>
    <r>
      <t>Mayank</t>
    </r>
    <r>
      <rPr>
        <sz val="11"/>
        <color theme="0" tint="-0.499984740745262"/>
        <rFont val="Calibri"/>
        <family val="2"/>
        <scheme val="minor"/>
      </rPr>
      <t xml:space="preserve"> Mayank</t>
    </r>
  </si>
  <si>
    <r>
      <t>JP</t>
    </r>
    <r>
      <rPr>
        <sz val="11"/>
        <color theme="0" tint="-0.499984740745262"/>
        <rFont val="Calibri"/>
        <family val="2"/>
        <scheme val="minor"/>
      </rPr>
      <t xml:space="preserve"> Le Riche</t>
    </r>
  </si>
  <si>
    <r>
      <t>Muditha</t>
    </r>
    <r>
      <rPr>
        <sz val="11"/>
        <color theme="0" tint="-0.499984740745262"/>
        <rFont val="Calibri"/>
        <family val="2"/>
        <scheme val="minor"/>
      </rPr>
      <t xml:space="preserve"> Tharanga</t>
    </r>
  </si>
  <si>
    <r>
      <t>Rajat</t>
    </r>
    <r>
      <rPr>
        <sz val="11"/>
        <color theme="0" tint="-0.499984740745262"/>
        <rFont val="Calibri"/>
        <family val="2"/>
        <scheme val="minor"/>
      </rPr>
      <t xml:space="preserve"> Jain</t>
    </r>
  </si>
  <si>
    <r>
      <t>Kunal</t>
    </r>
    <r>
      <rPr>
        <sz val="11"/>
        <color theme="0" tint="-0.499984740745262"/>
        <rFont val="Calibri"/>
        <family val="2"/>
        <scheme val="minor"/>
      </rPr>
      <t xml:space="preserve"> Desai</t>
    </r>
  </si>
  <si>
    <r>
      <t>Sandeep</t>
    </r>
    <r>
      <rPr>
        <sz val="11"/>
        <color theme="0" tint="-0.499984740745262"/>
        <rFont val="Calibri"/>
        <family val="2"/>
        <scheme val="minor"/>
      </rPr>
      <t xml:space="preserve"> Boora</t>
    </r>
  </si>
  <si>
    <r>
      <t>miraz</t>
    </r>
    <r>
      <rPr>
        <sz val="11"/>
        <color theme="0" tint="-0.499984740745262"/>
        <rFont val="Calibri"/>
        <family val="2"/>
        <scheme val="minor"/>
      </rPr>
      <t xml:space="preserve"> monga</t>
    </r>
  </si>
  <si>
    <r>
      <t>Michael</t>
    </r>
    <r>
      <rPr>
        <sz val="11"/>
        <color theme="0" tint="-0.499984740745262"/>
        <rFont val="Calibri"/>
        <family val="2"/>
        <scheme val="minor"/>
      </rPr>
      <t xml:space="preserve"> Hurle</t>
    </r>
  </si>
  <si>
    <r>
      <t>Muhriz</t>
    </r>
    <r>
      <rPr>
        <sz val="11"/>
        <color theme="0" tint="-0.499984740745262"/>
        <rFont val="Calibri"/>
        <family val="2"/>
        <scheme val="minor"/>
      </rPr>
      <t xml:space="preserve"> Muzzamil</t>
    </r>
  </si>
  <si>
    <r>
      <t>Ramakrishna</t>
    </r>
    <r>
      <rPr>
        <sz val="11"/>
        <color theme="0" tint="-0.499984740745262"/>
        <rFont val="Calibri"/>
        <family val="2"/>
        <scheme val="minor"/>
      </rPr>
      <t xml:space="preserve"> Muddam</t>
    </r>
  </si>
  <si>
    <r>
      <t>Liam</t>
    </r>
    <r>
      <rPr>
        <sz val="11"/>
        <color theme="0" tint="-0.499984740745262"/>
        <rFont val="Calibri"/>
        <family val="2"/>
        <scheme val="minor"/>
      </rPr>
      <t xml:space="preserve"> Cass</t>
    </r>
  </si>
  <si>
    <r>
      <t>Shailesh</t>
    </r>
    <r>
      <rPr>
        <sz val="11"/>
        <color theme="0" tint="-0.499984740745262"/>
        <rFont val="Calibri"/>
        <family val="2"/>
        <scheme val="minor"/>
      </rPr>
      <t xml:space="preserve"> Thulaskar</t>
    </r>
  </si>
  <si>
    <r>
      <t>Nikhil</t>
    </r>
    <r>
      <rPr>
        <sz val="11"/>
        <color theme="0" tint="-0.499984740745262"/>
        <rFont val="Calibri"/>
        <family val="2"/>
        <scheme val="minor"/>
      </rPr>
      <t xml:space="preserve"> Dsouza</t>
    </r>
  </si>
  <si>
    <r>
      <t>Mitesh</t>
    </r>
    <r>
      <rPr>
        <sz val="11"/>
        <color theme="0" tint="-0.499984740745262"/>
        <rFont val="Calibri"/>
        <family val="2"/>
        <scheme val="minor"/>
      </rPr>
      <t xml:space="preserve"> Dingra</t>
    </r>
  </si>
  <si>
    <r>
      <t>Mukesh</t>
    </r>
    <r>
      <rPr>
        <sz val="11"/>
        <color theme="0" tint="-0.499984740745262"/>
        <rFont val="Calibri"/>
        <family val="2"/>
        <scheme val="minor"/>
      </rPr>
      <t xml:space="preserve"> Khetan</t>
    </r>
  </si>
  <si>
    <r>
      <t>Rilshad</t>
    </r>
    <r>
      <rPr>
        <sz val="11"/>
        <color theme="0" tint="-0.499984740745262"/>
        <rFont val="Calibri"/>
        <family val="2"/>
        <scheme val="minor"/>
      </rPr>
      <t xml:space="preserve"> Thanduparakkal</t>
    </r>
  </si>
  <si>
    <r>
      <t>Lindsay</t>
    </r>
    <r>
      <rPr>
        <sz val="11"/>
        <color theme="0" tint="-0.499984740745262"/>
        <rFont val="Calibri"/>
        <family val="2"/>
        <scheme val="minor"/>
      </rPr>
      <t xml:space="preserve"> Wood</t>
    </r>
  </si>
  <si>
    <r>
      <t>Subhashish</t>
    </r>
    <r>
      <rPr>
        <sz val="11"/>
        <color theme="0" tint="-0.499984740745262"/>
        <rFont val="Calibri"/>
        <family val="2"/>
        <scheme val="minor"/>
      </rPr>
      <t xml:space="preserve"> Parida</t>
    </r>
  </si>
  <si>
    <r>
      <t>Pratyush</t>
    </r>
    <r>
      <rPr>
        <sz val="11"/>
        <color theme="0" tint="-0.499984740745262"/>
        <rFont val="Calibri"/>
        <family val="2"/>
        <scheme val="minor"/>
      </rPr>
      <t xml:space="preserve"> Chaturvedi</t>
    </r>
  </si>
  <si>
    <r>
      <t>Mufasil</t>
    </r>
    <r>
      <rPr>
        <sz val="11"/>
        <color theme="0" tint="-0.499984740745262"/>
        <rFont val="Calibri"/>
        <family val="2"/>
        <scheme val="minor"/>
      </rPr>
      <t xml:space="preserve"> Mufasil</t>
    </r>
  </si>
  <si>
    <r>
      <t>Nalaka</t>
    </r>
    <r>
      <rPr>
        <sz val="11"/>
        <color theme="0" tint="-0.499984740745262"/>
        <rFont val="Calibri"/>
        <family val="2"/>
        <scheme val="minor"/>
      </rPr>
      <t xml:space="preserve"> Kodituwakku</t>
    </r>
  </si>
  <si>
    <r>
      <t>Sandeep</t>
    </r>
    <r>
      <rPr>
        <sz val="11"/>
        <color theme="0" tint="-0.499984740745262"/>
        <rFont val="Calibri"/>
        <family val="2"/>
        <scheme val="minor"/>
      </rPr>
      <t xml:space="preserve"> Salunke</t>
    </r>
  </si>
  <si>
    <r>
      <t>Malay</t>
    </r>
    <r>
      <rPr>
        <sz val="11"/>
        <color theme="0" tint="-0.499984740745262"/>
        <rFont val="Calibri"/>
        <family val="2"/>
        <scheme val="minor"/>
      </rPr>
      <t xml:space="preserve"> Trivedi</t>
    </r>
  </si>
  <si>
    <r>
      <t>Sudir</t>
    </r>
    <r>
      <rPr>
        <sz val="11"/>
        <color theme="0" tint="-0.499984740745262"/>
        <rFont val="Calibri"/>
        <family val="2"/>
        <scheme val="minor"/>
      </rPr>
      <t xml:space="preserve"> Sharma</t>
    </r>
  </si>
  <si>
    <r>
      <t>Qamar</t>
    </r>
    <r>
      <rPr>
        <sz val="11"/>
        <color theme="0" tint="-0.499984740745262"/>
        <rFont val="Calibri"/>
        <family val="2"/>
        <scheme val="minor"/>
      </rPr>
      <t xml:space="preserve"> Alam</t>
    </r>
  </si>
  <si>
    <r>
      <t>Pradeep</t>
    </r>
    <r>
      <rPr>
        <sz val="11"/>
        <color theme="0" tint="-0.499984740745262"/>
        <rFont val="Calibri"/>
        <family val="2"/>
        <scheme val="minor"/>
      </rPr>
      <t xml:space="preserve"> Patnaik</t>
    </r>
  </si>
  <si>
    <r>
      <t>Raksheeth</t>
    </r>
    <r>
      <rPr>
        <sz val="11"/>
        <color theme="0" tint="-0.499984740745262"/>
        <rFont val="Calibri"/>
        <family val="2"/>
        <scheme val="minor"/>
      </rPr>
      <t xml:space="preserve"> Agarwal</t>
    </r>
  </si>
  <si>
    <r>
      <t>Praveen</t>
    </r>
    <r>
      <rPr>
        <sz val="11"/>
        <color theme="0" tint="-0.499984740745262"/>
        <rFont val="Calibri"/>
        <family val="2"/>
        <scheme val="minor"/>
      </rPr>
      <t xml:space="preserve"> Uppal</t>
    </r>
  </si>
  <si>
    <r>
      <t>Sathyanarayana</t>
    </r>
    <r>
      <rPr>
        <sz val="11"/>
        <color theme="0" tint="-0.499984740745262"/>
        <rFont val="Calibri"/>
        <family val="2"/>
        <scheme val="minor"/>
      </rPr>
      <t xml:space="preserve"> Mendarkar</t>
    </r>
  </si>
  <si>
    <r>
      <t>Mark</t>
    </r>
    <r>
      <rPr>
        <sz val="11"/>
        <color theme="0" tint="-0.499984740745262"/>
        <rFont val="Calibri"/>
        <family val="2"/>
        <scheme val="minor"/>
      </rPr>
      <t xml:space="preserve"> Bruny</t>
    </r>
  </si>
  <si>
    <r>
      <t>Suresh</t>
    </r>
    <r>
      <rPr>
        <sz val="11"/>
        <color theme="0" tint="-0.499984740745262"/>
        <rFont val="Calibri"/>
        <family val="2"/>
        <scheme val="minor"/>
      </rPr>
      <t xml:space="preserve"> Kumar</t>
    </r>
  </si>
  <si>
    <r>
      <t>Sharad</t>
    </r>
    <r>
      <rPr>
        <sz val="11"/>
        <color theme="0" tint="-0.499984740745262"/>
        <rFont val="Calibri"/>
        <family val="2"/>
        <scheme val="minor"/>
      </rPr>
      <t xml:space="preserve"> Detha</t>
    </r>
  </si>
  <si>
    <r>
      <t>Prashant</t>
    </r>
    <r>
      <rPr>
        <sz val="11"/>
        <color theme="0" tint="-0.499984740745262"/>
        <rFont val="Calibri"/>
        <family val="2"/>
        <scheme val="minor"/>
      </rPr>
      <t xml:space="preserve"> Kamat</t>
    </r>
  </si>
  <si>
    <r>
      <t>Suda</t>
    </r>
    <r>
      <rPr>
        <sz val="11"/>
        <color theme="0" tint="-0.499984740745262"/>
        <rFont val="Calibri"/>
        <family val="2"/>
        <scheme val="minor"/>
      </rPr>
      <t xml:space="preserve"> Arsa</t>
    </r>
  </si>
  <si>
    <r>
      <t>Raja</t>
    </r>
    <r>
      <rPr>
        <sz val="11"/>
        <color theme="0" tint="-0.499984740745262"/>
        <rFont val="Calibri"/>
        <family val="2"/>
        <scheme val="minor"/>
      </rPr>
      <t xml:space="preserve"> Mohan Surya</t>
    </r>
  </si>
  <si>
    <r>
      <t xml:space="preserve">Shivansh </t>
    </r>
    <r>
      <rPr>
        <sz val="11"/>
        <color theme="0" tint="-0.499984740745262"/>
        <rFont val="Calibri"/>
        <family val="2"/>
        <scheme val="minor"/>
      </rPr>
      <t>Jain</t>
    </r>
  </si>
  <si>
    <r>
      <t>Mark</t>
    </r>
    <r>
      <rPr>
        <sz val="11"/>
        <color theme="0" tint="-0.499984740745262"/>
        <rFont val="Calibri"/>
        <family val="2"/>
        <scheme val="minor"/>
      </rPr>
      <t xml:space="preserve"> Sims</t>
    </r>
  </si>
  <si>
    <r>
      <t>Vinod</t>
    </r>
    <r>
      <rPr>
        <sz val="11"/>
        <color theme="0" tint="-0.499984740745262"/>
        <rFont val="Calibri"/>
        <family val="2"/>
        <scheme val="minor"/>
      </rPr>
      <t xml:space="preserve"> Verghese</t>
    </r>
  </si>
  <si>
    <r>
      <t>Sourav</t>
    </r>
    <r>
      <rPr>
        <sz val="11"/>
        <color theme="0" tint="-0.499984740745262"/>
        <rFont val="Calibri"/>
        <family val="2"/>
        <scheme val="minor"/>
      </rPr>
      <t xml:space="preserve"> Bera</t>
    </r>
  </si>
  <si>
    <r>
      <t>Praveen</t>
    </r>
    <r>
      <rPr>
        <sz val="11"/>
        <color theme="0" tint="-0.499984740745262"/>
        <rFont val="Calibri"/>
        <family val="2"/>
        <scheme val="minor"/>
      </rPr>
      <t xml:space="preserve"> Praveen</t>
    </r>
  </si>
  <si>
    <r>
      <t>Suhail</t>
    </r>
    <r>
      <rPr>
        <sz val="11"/>
        <color theme="0" tint="-0.499984740745262"/>
        <rFont val="Calibri"/>
        <family val="2"/>
        <scheme val="minor"/>
      </rPr>
      <t xml:space="preserve"> Modak</t>
    </r>
  </si>
  <si>
    <r>
      <t>Rajeev</t>
    </r>
    <r>
      <rPr>
        <sz val="11"/>
        <color theme="0" tint="-0.499984740745262"/>
        <rFont val="Calibri"/>
        <family val="2"/>
        <scheme val="minor"/>
      </rPr>
      <t xml:space="preserve"> Kumar</t>
    </r>
  </si>
  <si>
    <r>
      <t>Sumeet</t>
    </r>
    <r>
      <rPr>
        <sz val="11"/>
        <color theme="0" tint="-0.499984740745262"/>
        <rFont val="Calibri"/>
        <family val="2"/>
        <scheme val="minor"/>
      </rPr>
      <t xml:space="preserve"> Tiwari</t>
    </r>
  </si>
  <si>
    <r>
      <t>Olivier</t>
    </r>
    <r>
      <rPr>
        <sz val="11"/>
        <color theme="0" tint="-0.499984740745262"/>
        <rFont val="Calibri"/>
        <family val="2"/>
        <scheme val="minor"/>
      </rPr>
      <t xml:space="preserve"> Bouwmeester</t>
    </r>
  </si>
  <si>
    <r>
      <t>Vishnu</t>
    </r>
    <r>
      <rPr>
        <sz val="11"/>
        <color theme="0" tint="-0.499984740745262"/>
        <rFont val="Calibri"/>
        <family val="2"/>
        <scheme val="minor"/>
      </rPr>
      <t xml:space="preserve"> Kumar</t>
    </r>
  </si>
  <si>
    <r>
      <t>Rakesh</t>
    </r>
    <r>
      <rPr>
        <sz val="11"/>
        <color theme="0" tint="-0.499984740745262"/>
        <rFont val="Calibri"/>
        <family val="2"/>
        <scheme val="minor"/>
      </rPr>
      <t xml:space="preserve"> Rathore</t>
    </r>
  </si>
  <si>
    <r>
      <t>Tim</t>
    </r>
    <r>
      <rPr>
        <sz val="11"/>
        <color theme="0" tint="-0.499984740745262"/>
        <rFont val="Calibri"/>
        <family val="2"/>
        <scheme val="minor"/>
      </rPr>
      <t xml:space="preserve"> Watson</t>
    </r>
  </si>
  <si>
    <r>
      <t>Raju</t>
    </r>
    <r>
      <rPr>
        <sz val="11"/>
        <color theme="0" tint="-0.499984740745262"/>
        <rFont val="Calibri"/>
        <family val="2"/>
        <scheme val="minor"/>
      </rPr>
      <t xml:space="preserve"> Raju</t>
    </r>
  </si>
  <si>
    <r>
      <t>Syed</t>
    </r>
    <r>
      <rPr>
        <sz val="11"/>
        <color theme="0" tint="-0.499984740745262"/>
        <rFont val="Calibri"/>
        <family val="2"/>
        <scheme val="minor"/>
      </rPr>
      <t xml:space="preserve"> Hameed</t>
    </r>
  </si>
  <si>
    <r>
      <t>Pete C</t>
    </r>
    <r>
      <rPr>
        <sz val="11"/>
        <color theme="0" tint="-0.499984740745262"/>
        <rFont val="Calibri"/>
        <family val="2"/>
        <scheme val="minor"/>
      </rPr>
      <t xml:space="preserve"> ClarK</t>
    </r>
  </si>
  <si>
    <r>
      <t>Vishwajit</t>
    </r>
    <r>
      <rPr>
        <sz val="11"/>
        <color theme="0" tint="-0.499984740745262"/>
        <rFont val="Calibri"/>
        <family val="2"/>
        <scheme val="minor"/>
      </rPr>
      <t xml:space="preserve"> Tripathi</t>
    </r>
  </si>
  <si>
    <r>
      <t>Rakesh</t>
    </r>
    <r>
      <rPr>
        <sz val="11"/>
        <color theme="0" tint="-0.499984740745262"/>
        <rFont val="Calibri"/>
        <family val="2"/>
        <scheme val="minor"/>
      </rPr>
      <t xml:space="preserve"> Sharma</t>
    </r>
  </si>
  <si>
    <r>
      <t>Toby</t>
    </r>
    <r>
      <rPr>
        <sz val="11"/>
        <color theme="0" tint="-0.499984740745262"/>
        <rFont val="Calibri"/>
        <family val="2"/>
        <scheme val="minor"/>
      </rPr>
      <t xml:space="preserve"> Nugent</t>
    </r>
  </si>
  <si>
    <r>
      <t>Tanpure</t>
    </r>
    <r>
      <rPr>
        <sz val="11"/>
        <color theme="0" tint="-0.499984740745262"/>
        <rFont val="Calibri"/>
        <family val="2"/>
        <scheme val="minor"/>
      </rPr>
      <t xml:space="preserve"> Manoj</t>
    </r>
  </si>
  <si>
    <r>
      <t xml:space="preserve">Prakash </t>
    </r>
    <r>
      <rPr>
        <sz val="11"/>
        <color theme="0" tint="-0.499984740745262"/>
        <rFont val="Calibri"/>
        <family val="2"/>
        <scheme val="minor"/>
      </rPr>
      <t>Kewlani</t>
    </r>
  </si>
  <si>
    <r>
      <t>Ramesh</t>
    </r>
    <r>
      <rPr>
        <sz val="11"/>
        <color theme="0" tint="-0.499984740745262"/>
        <rFont val="Calibri"/>
        <family val="2"/>
        <scheme val="minor"/>
      </rPr>
      <t xml:space="preserve"> Dubagunta</t>
    </r>
  </si>
  <si>
    <r>
      <t>Viraj</t>
    </r>
    <r>
      <rPr>
        <sz val="11"/>
        <color theme="0" tint="-0.499984740745262"/>
        <rFont val="Calibri"/>
        <family val="2"/>
        <scheme val="minor"/>
      </rPr>
      <t xml:space="preserve"> Bhammar</t>
    </r>
  </si>
  <si>
    <r>
      <t>Ram</t>
    </r>
    <r>
      <rPr>
        <sz val="11"/>
        <color theme="0" tint="-0.499984740745262"/>
        <rFont val="Calibri"/>
        <family val="2"/>
        <scheme val="minor"/>
      </rPr>
      <t xml:space="preserve"> Krishnan</t>
    </r>
  </si>
  <si>
    <r>
      <t>Vijay</t>
    </r>
    <r>
      <rPr>
        <sz val="11"/>
        <color theme="0" tint="-0.499984740745262"/>
        <rFont val="Calibri"/>
        <family val="2"/>
        <scheme val="minor"/>
      </rPr>
      <t xml:space="preserve"> Krishnan</t>
    </r>
  </si>
  <si>
    <r>
      <t>Reuben</t>
    </r>
    <r>
      <rPr>
        <sz val="11"/>
        <color theme="0" tint="-0.499984740745262"/>
        <rFont val="Calibri"/>
        <family val="2"/>
        <scheme val="minor"/>
      </rPr>
      <t xml:space="preserve"> Brimage</t>
    </r>
  </si>
  <si>
    <r>
      <t>Rinkesh</t>
    </r>
    <r>
      <rPr>
        <sz val="11"/>
        <color theme="0" tint="-0.499984740745262"/>
        <rFont val="Calibri"/>
        <family val="2"/>
        <scheme val="minor"/>
      </rPr>
      <t xml:space="preserve"> Khosla</t>
    </r>
  </si>
  <si>
    <r>
      <t>Wilfred</t>
    </r>
    <r>
      <rPr>
        <sz val="11"/>
        <color theme="0" tint="-0.499984740745262"/>
        <rFont val="Calibri"/>
        <family val="2"/>
        <scheme val="minor"/>
      </rPr>
      <t xml:space="preserve"> Schultz</t>
    </r>
  </si>
  <si>
    <r>
      <t>Randy</t>
    </r>
    <r>
      <rPr>
        <sz val="11"/>
        <color theme="0" tint="-0.499984740745262"/>
        <rFont val="Calibri"/>
        <family val="2"/>
        <scheme val="minor"/>
      </rPr>
      <t xml:space="preserve"> Reckerman</t>
    </r>
  </si>
  <si>
    <r>
      <t>Zaid</t>
    </r>
    <r>
      <rPr>
        <sz val="11"/>
        <color theme="0" tint="-0.499984740745262"/>
        <rFont val="Calibri"/>
        <family val="2"/>
        <scheme val="minor"/>
      </rPr>
      <t xml:space="preserve"> Malkani</t>
    </r>
  </si>
  <si>
    <r>
      <t>Rick</t>
    </r>
    <r>
      <rPr>
        <sz val="11"/>
        <color theme="0" tint="-0.499984740745262"/>
        <rFont val="Calibri"/>
        <family val="2"/>
        <scheme val="minor"/>
      </rPr>
      <t xml:space="preserve"> Monaghan</t>
    </r>
  </si>
  <si>
    <r>
      <t>Roopesh</t>
    </r>
    <r>
      <rPr>
        <sz val="11"/>
        <color theme="0" tint="-0.499984740745262"/>
        <rFont val="Calibri"/>
        <family val="2"/>
        <scheme val="minor"/>
      </rPr>
      <t xml:space="preserve"> Shah</t>
    </r>
  </si>
  <si>
    <r>
      <t>William</t>
    </r>
    <r>
      <rPr>
        <sz val="11"/>
        <color theme="0" tint="-0.499984740745262"/>
        <rFont val="Calibri"/>
        <family val="2"/>
        <scheme val="minor"/>
      </rPr>
      <t xml:space="preserve"> Noronha</t>
    </r>
  </si>
  <si>
    <r>
      <t>Rasil</t>
    </r>
    <r>
      <rPr>
        <sz val="11"/>
        <color theme="0" tint="-0.499984740745262"/>
        <rFont val="Calibri"/>
        <family val="2"/>
        <scheme val="minor"/>
      </rPr>
      <t xml:space="preserve"> Nonis</t>
    </r>
  </si>
  <si>
    <r>
      <t>Robert</t>
    </r>
    <r>
      <rPr>
        <sz val="11"/>
        <color theme="0" tint="-0.499984740745262"/>
        <rFont val="Calibri"/>
        <family val="2"/>
        <scheme val="minor"/>
      </rPr>
      <t xml:space="preserve"> Baldwin</t>
    </r>
  </si>
  <si>
    <r>
      <t>Yogish</t>
    </r>
    <r>
      <rPr>
        <sz val="11"/>
        <color theme="0" tint="-0.499984740745262"/>
        <rFont val="Calibri"/>
        <family val="2"/>
        <scheme val="minor"/>
      </rPr>
      <t xml:space="preserve"> Lad</t>
    </r>
  </si>
  <si>
    <r>
      <t>Roy</t>
    </r>
    <r>
      <rPr>
        <sz val="11"/>
        <color theme="0" tint="-0.499984740745262"/>
        <rFont val="Calibri"/>
        <family val="2"/>
        <scheme val="minor"/>
      </rPr>
      <t xml:space="preserve"> Roy</t>
    </r>
  </si>
  <si>
    <r>
      <t>Riaz</t>
    </r>
    <r>
      <rPr>
        <sz val="11"/>
        <color theme="0" tint="-0.499984740745262"/>
        <rFont val="Calibri"/>
        <family val="2"/>
        <scheme val="minor"/>
      </rPr>
      <t xml:space="preserve"> Ur Rahman</t>
    </r>
  </si>
  <si>
    <r>
      <t>Sam</t>
    </r>
    <r>
      <rPr>
        <sz val="11"/>
        <color theme="0" tint="-0.499984740745262"/>
        <rFont val="Calibri"/>
        <family val="2"/>
        <scheme val="minor"/>
      </rPr>
      <t xml:space="preserve"> Mabey</t>
    </r>
  </si>
  <si>
    <r>
      <t>Sabry</t>
    </r>
    <r>
      <rPr>
        <sz val="11"/>
        <color theme="0" tint="-0.499984740745262"/>
        <rFont val="Calibri"/>
        <family val="2"/>
        <scheme val="minor"/>
      </rPr>
      <t xml:space="preserve"> Salahudeen</t>
    </r>
  </si>
  <si>
    <r>
      <t>Sam</t>
    </r>
    <r>
      <rPr>
        <sz val="11"/>
        <color theme="0" tint="-0.499984740745262"/>
        <rFont val="Calibri"/>
        <family val="2"/>
        <scheme val="minor"/>
      </rPr>
      <t xml:space="preserve"> Mirza</t>
    </r>
  </si>
  <si>
    <r>
      <t>Samir</t>
    </r>
    <r>
      <rPr>
        <sz val="11"/>
        <color theme="0" tint="-0.499984740745262"/>
        <rFont val="Calibri"/>
        <family val="2"/>
        <scheme val="minor"/>
      </rPr>
      <t xml:space="preserve"> Sharma</t>
    </r>
  </si>
  <si>
    <r>
      <t>Saheel</t>
    </r>
    <r>
      <rPr>
        <sz val="11"/>
        <color theme="0" tint="-0.499984740745262"/>
        <rFont val="Calibri"/>
        <family val="2"/>
        <scheme val="minor"/>
      </rPr>
      <t xml:space="preserve"> Riyal</t>
    </r>
  </si>
  <si>
    <r>
      <t>Saul</t>
    </r>
    <r>
      <rPr>
        <sz val="11"/>
        <color theme="0" tint="-0.499984740745262"/>
        <rFont val="Calibri"/>
        <family val="2"/>
        <scheme val="minor"/>
      </rPr>
      <t xml:space="preserve"> Andrews</t>
    </r>
  </si>
  <si>
    <r>
      <t>Sandeep</t>
    </r>
    <r>
      <rPr>
        <sz val="11"/>
        <color theme="0" tint="-0.499984740745262"/>
        <rFont val="Calibri"/>
        <family val="2"/>
        <scheme val="minor"/>
      </rPr>
      <t xml:space="preserve"> Gaikwad</t>
    </r>
  </si>
  <si>
    <r>
      <t>Sajith</t>
    </r>
    <r>
      <rPr>
        <sz val="11"/>
        <color theme="0" tint="-0.499984740745262"/>
        <rFont val="Calibri"/>
        <family val="2"/>
        <scheme val="minor"/>
      </rPr>
      <t xml:space="preserve"> Pullarkat</t>
    </r>
  </si>
  <si>
    <r>
      <t>scott</t>
    </r>
    <r>
      <rPr>
        <sz val="11"/>
        <color theme="0" tint="-0.499984740745262"/>
        <rFont val="Calibri"/>
        <family val="2"/>
        <scheme val="minor"/>
      </rPr>
      <t xml:space="preserve"> masson</t>
    </r>
  </si>
  <si>
    <r>
      <t>Sanjeev</t>
    </r>
    <r>
      <rPr>
        <sz val="11"/>
        <color theme="0" tint="-0.499984740745262"/>
        <rFont val="Calibri"/>
        <family val="2"/>
        <scheme val="minor"/>
      </rPr>
      <t xml:space="preserve"> Modi</t>
    </r>
  </si>
  <si>
    <r>
      <t>Shubham</t>
    </r>
    <r>
      <rPr>
        <sz val="11"/>
        <color theme="0" tint="-0.499984740745262"/>
        <rFont val="Calibri"/>
        <family val="2"/>
        <scheme val="minor"/>
      </rPr>
      <t xml:space="preserve"> Shubham</t>
    </r>
  </si>
  <si>
    <r>
      <t>Sean</t>
    </r>
    <r>
      <rPr>
        <sz val="11"/>
        <color theme="0" tint="-0.499984740745262"/>
        <rFont val="Calibri"/>
        <family val="2"/>
        <scheme val="minor"/>
      </rPr>
      <t xml:space="preserve"> Hankin</t>
    </r>
  </si>
  <si>
    <r>
      <t>Satish</t>
    </r>
    <r>
      <rPr>
        <sz val="11"/>
        <color theme="0" tint="-0.499984740745262"/>
        <rFont val="Calibri"/>
        <family val="2"/>
        <scheme val="minor"/>
      </rPr>
      <t xml:space="preserve"> Pansare</t>
    </r>
  </si>
  <si>
    <r>
      <t>Srinath</t>
    </r>
    <r>
      <rPr>
        <sz val="11"/>
        <color theme="0" tint="-0.499984740745262"/>
        <rFont val="Calibri"/>
        <family val="2"/>
        <scheme val="minor"/>
      </rPr>
      <t xml:space="preserve"> Fernando</t>
    </r>
  </si>
  <si>
    <r>
      <t>Shannon</t>
    </r>
    <r>
      <rPr>
        <sz val="11"/>
        <color theme="0" tint="-0.499984740745262"/>
        <rFont val="Calibri"/>
        <family val="2"/>
        <scheme val="minor"/>
      </rPr>
      <t xml:space="preserve"> Leary</t>
    </r>
  </si>
  <si>
    <r>
      <t>Shankar</t>
    </r>
    <r>
      <rPr>
        <sz val="11"/>
        <color theme="0" tint="-0.499984740745262"/>
        <rFont val="Calibri"/>
        <family val="2"/>
        <scheme val="minor"/>
      </rPr>
      <t xml:space="preserve"> CS</t>
    </r>
  </si>
  <si>
    <r>
      <t>Subramonia</t>
    </r>
    <r>
      <rPr>
        <sz val="11"/>
        <color theme="0" tint="-0.499984740745262"/>
        <rFont val="Calibri"/>
        <family val="2"/>
        <scheme val="minor"/>
      </rPr>
      <t xml:space="preserve"> Gopalakrishnan</t>
    </r>
  </si>
  <si>
    <r>
      <t>Steve</t>
    </r>
    <r>
      <rPr>
        <sz val="11"/>
        <color theme="0" tint="-0.499984740745262"/>
        <rFont val="Calibri"/>
        <family val="2"/>
        <scheme val="minor"/>
      </rPr>
      <t xml:space="preserve"> Cheshire</t>
    </r>
  </si>
  <si>
    <r>
      <t>Shekar</t>
    </r>
    <r>
      <rPr>
        <sz val="11"/>
        <color theme="0" tint="-0.499984740745262"/>
        <rFont val="Calibri"/>
        <family val="2"/>
        <scheme val="minor"/>
      </rPr>
      <t xml:space="preserve"> Saraf</t>
    </r>
  </si>
  <si>
    <r>
      <t>Supun</t>
    </r>
    <r>
      <rPr>
        <sz val="11"/>
        <color theme="0" tint="-0.499984740745262"/>
        <rFont val="Calibri"/>
        <family val="2"/>
        <scheme val="minor"/>
      </rPr>
      <t xml:space="preserve"> Nonis</t>
    </r>
  </si>
  <si>
    <r>
      <t>Tim</t>
    </r>
    <r>
      <rPr>
        <sz val="11"/>
        <color theme="0" tint="-0.499984740745262"/>
        <rFont val="Calibri"/>
        <family val="2"/>
        <scheme val="minor"/>
      </rPr>
      <t xml:space="preserve"> Moore</t>
    </r>
  </si>
  <si>
    <r>
      <t>Shivaz</t>
    </r>
    <r>
      <rPr>
        <sz val="11"/>
        <color theme="0" tint="-0.499984740745262"/>
        <rFont val="Calibri"/>
        <family val="2"/>
        <scheme val="minor"/>
      </rPr>
      <t xml:space="preserve"> Monga</t>
    </r>
  </si>
  <si>
    <r>
      <t>Tarun</t>
    </r>
    <r>
      <rPr>
        <sz val="11"/>
        <color theme="0" tint="-0.499984740745262"/>
        <rFont val="Calibri"/>
        <family val="2"/>
        <scheme val="minor"/>
      </rPr>
      <t xml:space="preserve"> Agarwal</t>
    </r>
  </si>
  <si>
    <r>
      <t>Tim</t>
    </r>
    <r>
      <rPr>
        <sz val="11"/>
        <color theme="0" tint="-0.499984740745262"/>
        <rFont val="Calibri"/>
        <family val="2"/>
        <scheme val="minor"/>
      </rPr>
      <t xml:space="preserve"> Gutsell</t>
    </r>
  </si>
  <si>
    <r>
      <t>Shobit</t>
    </r>
    <r>
      <rPr>
        <sz val="11"/>
        <color theme="0" tint="-0.499984740745262"/>
        <rFont val="Calibri"/>
        <family val="2"/>
        <scheme val="minor"/>
      </rPr>
      <t xml:space="preserve"> Tandon</t>
    </r>
  </si>
  <si>
    <r>
      <t>Timothy</t>
    </r>
    <r>
      <rPr>
        <sz val="11"/>
        <color theme="0" tint="-0.499984740745262"/>
        <rFont val="Calibri"/>
        <family val="2"/>
        <scheme val="minor"/>
      </rPr>
      <t xml:space="preserve"> Pushpakumara</t>
    </r>
  </si>
  <si>
    <r>
      <t>Vishav</t>
    </r>
    <r>
      <rPr>
        <sz val="11"/>
        <color theme="0" tint="-0.499984740745262"/>
        <rFont val="Calibri"/>
        <family val="2"/>
        <scheme val="minor"/>
      </rPr>
      <t xml:space="preserve"> Sharma</t>
    </r>
  </si>
  <si>
    <r>
      <t>Usman</t>
    </r>
    <r>
      <rPr>
        <sz val="11"/>
        <color theme="0" tint="-0.499984740745262"/>
        <rFont val="Calibri"/>
        <family val="2"/>
        <scheme val="minor"/>
      </rPr>
      <t xml:space="preserve"> Afridi</t>
    </r>
  </si>
  <si>
    <r>
      <t xml:space="preserve">Vipul </t>
    </r>
    <r>
      <rPr>
        <sz val="11"/>
        <color theme="0" tint="-0.499984740745262"/>
        <rFont val="Calibri"/>
        <family val="2"/>
        <scheme val="minor"/>
      </rPr>
      <t>Jain</t>
    </r>
  </si>
  <si>
    <r>
      <t>Boxes with a</t>
    </r>
    <r>
      <rPr>
        <b/>
        <sz val="11"/>
        <color theme="1"/>
        <rFont val="Calibri"/>
        <family val="2"/>
        <scheme val="minor"/>
      </rPr>
      <t xml:space="preserve"> Blue</t>
    </r>
    <r>
      <rPr>
        <sz val="11"/>
        <color theme="1"/>
        <rFont val="Calibri"/>
        <family val="2"/>
        <scheme val="minor"/>
      </rPr>
      <t xml:space="preserve"> background are the responsibility of the </t>
    </r>
    <r>
      <rPr>
        <b/>
        <sz val="11"/>
        <color theme="1"/>
        <rFont val="Calibri"/>
        <family val="2"/>
        <scheme val="minor"/>
      </rPr>
      <t>Batting</t>
    </r>
    <r>
      <rPr>
        <sz val="11"/>
        <color theme="1"/>
        <rFont val="Calibri"/>
        <family val="2"/>
        <scheme val="minor"/>
      </rPr>
      <t xml:space="preserve"> team to fill out. The batting team will be penalised points for these boxes that are not filled out.</t>
    </r>
  </si>
  <si>
    <r>
      <t xml:space="preserve">Boxes with an </t>
    </r>
    <r>
      <rPr>
        <b/>
        <sz val="11"/>
        <color theme="1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background are </t>
    </r>
    <r>
      <rPr>
        <b/>
        <sz val="11"/>
        <color theme="1"/>
        <rFont val="Calibri"/>
        <family val="2"/>
        <scheme val="minor"/>
      </rPr>
      <t>voluntary</t>
    </r>
    <r>
      <rPr>
        <sz val="11"/>
        <color theme="1"/>
        <rFont val="Calibri"/>
        <family val="2"/>
        <scheme val="minor"/>
      </rPr>
      <t xml:space="preserve"> to fill out, but players whose boxes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filled out are</t>
    </r>
    <r>
      <rPr>
        <b/>
        <sz val="11"/>
        <color theme="1"/>
        <rFont val="Calibri"/>
        <family val="2"/>
        <scheme val="minor"/>
      </rPr>
      <t xml:space="preserve"> removed from eligibility for relevant awards</t>
    </r>
  </si>
  <si>
    <r>
      <t xml:space="preserve">The Batting/Bowling check shows that everything adds up (eg batsman + extras = bowlers + lb + b). </t>
    </r>
    <r>
      <rPr>
        <b/>
        <sz val="11"/>
        <color theme="1"/>
        <rFont val="Calibri"/>
        <family val="2"/>
        <scheme val="minor"/>
      </rPr>
      <t>If this box does not read PASS points will be deducted from BOTH teams.</t>
    </r>
  </si>
  <si>
    <t>Boxes with no background should not be entered</t>
  </si>
  <si>
    <t xml:space="preserve">Step 1: </t>
  </si>
  <si>
    <t xml:space="preserve">Step 2: </t>
  </si>
  <si>
    <t xml:space="preserve">Step 3: </t>
  </si>
  <si>
    <t>If a player in your team does not appear in the drop down box to enter into the lineup do the following steps:</t>
  </si>
  <si>
    <t>Step 4:</t>
  </si>
  <si>
    <t xml:space="preserve">Step 5: </t>
  </si>
  <si>
    <t>Rows 39+ are for drop down box lists and should not be touched except to add a player whose name does not appear in your team list (see below)</t>
  </si>
  <si>
    <t xml:space="preserve">Step 6: </t>
  </si>
  <si>
    <t>Go to the Formulas Tab</t>
  </si>
  <si>
    <t>Select the Name Manager Tool</t>
  </si>
  <si>
    <t>In the next cell down, type in the name of your new player (repeat as necessary for multiple new players)</t>
  </si>
  <si>
    <t xml:space="preserve">Example: </t>
  </si>
  <si>
    <t xml:space="preserve">Step 7: </t>
  </si>
  <si>
    <t>Close and return to the player name entry section of the scoresheet and the drop down boxes should now contain the new names as well</t>
  </si>
  <si>
    <t>XXXX JCA LEAGUE 2015/16  -  SCORE SHEET SUMMARY</t>
  </si>
  <si>
    <t>PENALTIES</t>
  </si>
  <si>
    <t>-0.1 point for EACH incomplete coloured box (orange is not included being voluntary) in submission (eg, BF, dot balls, FOW incl batsmen out/no). Boxes properly incomplete (eg for batsmen who DNB, though their names must be there, or FoW for wickets that d</t>
  </si>
  <si>
    <t>-0.1 point for EACH incomplete or inaccurate name (names must match cricHQ team records) for batting, bowling or fielding in spreadsheet or CricHQ submission.</t>
  </si>
  <si>
    <t>NEW PLAYERS</t>
  </si>
  <si>
    <t>FILLING OUT THIS SCORESHEET</t>
  </si>
  <si>
    <t>ToC</t>
  </si>
  <si>
    <t>1. Filling out this Scoresheet</t>
  </si>
  <si>
    <t>2. Adding New Players</t>
  </si>
  <si>
    <t>3. Penalties</t>
  </si>
  <si>
    <t>-0.5 points for EACH team if the Pass/Fail box does not read Pass (scores add up batting and bowling)</t>
  </si>
  <si>
    <t>Most boxes except raw numerical values in this spreadsheet are entered using drop-down lists to select from rather than typing entries.</t>
  </si>
  <si>
    <r>
      <t xml:space="preserve">Obviously there is no penalty for an empty box that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be empty, eg DNB, or Bowler for a Run Out. But things like boundaries, wides, no balls etc should be entered 0 if appropriate rather than empty</t>
    </r>
  </si>
  <si>
    <t>Toss Won By</t>
  </si>
  <si>
    <t>Who elected to</t>
  </si>
  <si>
    <t xml:space="preserve">Competition: </t>
  </si>
  <si>
    <t>vs</t>
  </si>
  <si>
    <t>Umpire 2:</t>
  </si>
  <si>
    <t>Umpire 1:</t>
  </si>
  <si>
    <t>name</t>
  </si>
  <si>
    <t>team</t>
  </si>
  <si>
    <t>position</t>
  </si>
  <si>
    <t>Game Result:</t>
  </si>
  <si>
    <t>Scorebook adds up?</t>
  </si>
  <si>
    <t>Captains signed completed Scorebook?</t>
  </si>
  <si>
    <t>JCA</t>
  </si>
  <si>
    <t>Competition</t>
  </si>
  <si>
    <t>Toss</t>
  </si>
  <si>
    <t>Bat</t>
  </si>
  <si>
    <t>Position</t>
  </si>
  <si>
    <t>Normal</t>
  </si>
  <si>
    <t>Both Ends</t>
  </si>
  <si>
    <t>Square Leg only</t>
  </si>
  <si>
    <t>League</t>
  </si>
  <si>
    <t>League Playoffs</t>
  </si>
  <si>
    <t>T20 playoffs</t>
  </si>
  <si>
    <t>Yes</t>
  </si>
  <si>
    <t>No</t>
  </si>
  <si>
    <t>Y/N</t>
  </si>
  <si>
    <t>Electronic Scoring?</t>
  </si>
  <si>
    <t>General Report</t>
  </si>
  <si>
    <t>Problems with Team conduct?</t>
  </si>
  <si>
    <t>Problems with Captain conduct?</t>
  </si>
  <si>
    <t>Problems with Player conduct?</t>
  </si>
  <si>
    <t>Bowler Action issues</t>
  </si>
  <si>
    <t>Bowler No Ball Issues</t>
  </si>
  <si>
    <t>Other Issues?</t>
  </si>
  <si>
    <t>Details if yes</t>
  </si>
  <si>
    <t>Inn1</t>
  </si>
  <si>
    <t>inn2</t>
  </si>
  <si>
    <t>Don’t know</t>
  </si>
  <si>
    <t>Find your club player list. Clubs are listed in Row57 cells A57 to P57 and their team lists below them. Do not use the club list in A40-A55</t>
  </si>
  <si>
    <t>Team 1 (Bat 1st)</t>
  </si>
  <si>
    <t>Team 2 (Bat 2nd)</t>
  </si>
  <si>
    <t>Player</t>
  </si>
  <si>
    <t>Batting number</t>
  </si>
  <si>
    <t>Games</t>
  </si>
  <si>
    <t>Innings</t>
  </si>
  <si>
    <t>no</t>
  </si>
  <si>
    <t>BF</t>
  </si>
  <si>
    <t>dots</t>
  </si>
  <si>
    <t>partnerships</t>
  </si>
  <si>
    <t>catches</t>
  </si>
  <si>
    <t>run outs</t>
  </si>
  <si>
    <t>stumpings</t>
  </si>
  <si>
    <t>overs</t>
  </si>
  <si>
    <t>maidens</t>
  </si>
  <si>
    <t>runs</t>
  </si>
  <si>
    <t>wides</t>
  </si>
  <si>
    <t>noballs</t>
  </si>
  <si>
    <t>db bowled</t>
  </si>
  <si>
    <t>bdy bowled</t>
  </si>
  <si>
    <t>Partnership</t>
  </si>
  <si>
    <t>50s</t>
  </si>
  <si>
    <t>100s</t>
  </si>
  <si>
    <t>3/</t>
  </si>
  <si>
    <t>5/</t>
  </si>
  <si>
    <t>Bdy Balls</t>
  </si>
  <si>
    <t>Final Total</t>
  </si>
  <si>
    <t>Match SR</t>
  </si>
  <si>
    <t>Match Runs</t>
  </si>
  <si>
    <t>Balls available</t>
  </si>
  <si>
    <t>base batting MVP</t>
  </si>
  <si>
    <t>converted batting MVP</t>
  </si>
  <si>
    <t>Final Bowling MVP</t>
  </si>
  <si>
    <t>1/2 effect SR</t>
  </si>
  <si>
    <t>Team Econ Rate</t>
  </si>
  <si>
    <t>SAMPLES</t>
  </si>
  <si>
    <t>CALCS</t>
  </si>
  <si>
    <t>EconR Normal Dist</t>
  </si>
  <si>
    <t>Econ R</t>
  </si>
  <si>
    <t>Match ER</t>
  </si>
  <si>
    <t>wicket points</t>
  </si>
  <si>
    <t>Bowling Points</t>
  </si>
  <si>
    <t>3/fielding</t>
  </si>
  <si>
    <t>5/fielding</t>
  </si>
  <si>
    <t>Total fielding</t>
  </si>
  <si>
    <t>Fielding MVP</t>
  </si>
  <si>
    <t>Total MVP</t>
  </si>
  <si>
    <t>Final Batting MVP</t>
  </si>
  <si>
    <t>L</t>
  </si>
  <si>
    <t>Team Result</t>
  </si>
  <si>
    <t>T</t>
  </si>
  <si>
    <t>NR</t>
  </si>
  <si>
    <t>Winning (2pts)</t>
  </si>
  <si>
    <t>Captain (2pts)</t>
  </si>
  <si>
    <t>ChairosTigers</t>
  </si>
  <si>
    <r>
      <t xml:space="preserve">Boxes with a </t>
    </r>
    <r>
      <rPr>
        <b/>
        <sz val="11"/>
        <color theme="1"/>
        <rFont val="Calibri"/>
        <family val="2"/>
        <scheme val="minor"/>
      </rPr>
      <t>Pink</t>
    </r>
    <r>
      <rPr>
        <sz val="11"/>
        <color theme="1"/>
        <rFont val="Calibri"/>
        <family val="2"/>
        <scheme val="minor"/>
      </rPr>
      <t xml:space="preserve"> background are the responsibility of the </t>
    </r>
    <r>
      <rPr>
        <b/>
        <sz val="11"/>
        <color theme="1"/>
        <rFont val="Calibri"/>
        <family val="2"/>
        <scheme val="minor"/>
      </rPr>
      <t>Fielding</t>
    </r>
    <r>
      <rPr>
        <sz val="11"/>
        <color theme="1"/>
        <rFont val="Calibri"/>
        <family val="2"/>
        <scheme val="minor"/>
      </rPr>
      <t xml:space="preserve"> team to fill out. The fielding team will be penalised points for these boxes that are not filled out.</t>
    </r>
  </si>
  <si>
    <r>
      <t xml:space="preserve">Boxes with a </t>
    </r>
    <r>
      <rPr>
        <b/>
        <sz val="11"/>
        <color theme="1"/>
        <rFont val="Calibri"/>
        <family val="2"/>
        <scheme val="minor"/>
      </rPr>
      <t>Grey</t>
    </r>
    <r>
      <rPr>
        <sz val="11"/>
        <color theme="1"/>
        <rFont val="Calibri"/>
        <family val="2"/>
        <scheme val="minor"/>
      </rPr>
      <t xml:space="preserve"> background should not be touched, they are there for calculations and MVP purposes</t>
    </r>
  </si>
  <si>
    <t>Gaurav Pathak</t>
  </si>
  <si>
    <t>Dhiraj Nagpal</t>
  </si>
  <si>
    <t>Bunty Nagpal</t>
  </si>
  <si>
    <t>Gaurang Kapadia</t>
  </si>
  <si>
    <t>George Maghnani</t>
  </si>
  <si>
    <t>Manoj Arora</t>
  </si>
  <si>
    <t>Kishor Gunwani</t>
  </si>
  <si>
    <t>Pankaj Jain</t>
  </si>
  <si>
    <t>Partha Kabi</t>
  </si>
  <si>
    <t>Rachin Arora</t>
  </si>
  <si>
    <t>Santosh Kumar</t>
  </si>
  <si>
    <t>Dwaraknath Naidu</t>
  </si>
  <si>
    <t>Vasudevan Parthasarathy</t>
  </si>
  <si>
    <t>Ajay K</t>
  </si>
  <si>
    <t>Bhuvan Manjunathan</t>
  </si>
  <si>
    <t>Mahesh Amarnani</t>
  </si>
  <si>
    <t>Pallav Malhotra</t>
  </si>
  <si>
    <t>Vijay Kumar</t>
  </si>
  <si>
    <t>Ashfaq Hussain</t>
  </si>
  <si>
    <t>Dhimanshu Raghuwanshi</t>
  </si>
  <si>
    <t>Abhay Bhalerao</t>
  </si>
  <si>
    <t>Saini Sumit</t>
  </si>
  <si>
    <t>Sridhar Sasikumar (Vice Captain)</t>
  </si>
  <si>
    <t>Shivanand Daddimani</t>
  </si>
  <si>
    <t>Amit Lalaji</t>
  </si>
  <si>
    <t>Uttam Singh Gyan Singh (Contact)</t>
  </si>
  <si>
    <t>Muhammad Ridho</t>
  </si>
  <si>
    <t>Jagdeep Singh</t>
  </si>
  <si>
    <t>Raja Kundu</t>
  </si>
  <si>
    <t>Ramakrishna Prasad</t>
  </si>
  <si>
    <t>Parshotam Lal</t>
  </si>
  <si>
    <t>Nasir Mehdi</t>
  </si>
  <si>
    <t>Feroz Saeed Dalwai</t>
  </si>
  <si>
    <t>Riski Sanjaya</t>
  </si>
  <si>
    <t>Yashpal Rathor</t>
  </si>
  <si>
    <t>Suheal Ahmed Jaffery Kiranam</t>
  </si>
  <si>
    <t>Ansar Subramanian Mohammed Hameed</t>
  </si>
  <si>
    <t>Mohammad Mubeen</t>
  </si>
  <si>
    <t>Mohideen Nanapallai</t>
  </si>
  <si>
    <t>Anwar Pasha</t>
  </si>
  <si>
    <t>Swaroop Chavan J.</t>
  </si>
  <si>
    <t>Suren Khetan</t>
  </si>
  <si>
    <t>Neeraj  Chaddha</t>
  </si>
  <si>
    <t>Hitesh Malhotra</t>
  </si>
  <si>
    <t>Rakesh AS</t>
  </si>
  <si>
    <t xml:space="preserve">Nagesh Lashim  Gawda </t>
  </si>
  <si>
    <t>Poonam ( Jimmy )  Bumb</t>
  </si>
  <si>
    <t>Ravinder Negi</t>
  </si>
  <si>
    <t>Vijay Srinivasan</t>
  </si>
  <si>
    <t>Suren Ketan</t>
  </si>
  <si>
    <t>Malik Thariani</t>
  </si>
  <si>
    <t>Viplow  Singh</t>
  </si>
  <si>
    <t>Susil  Khanna</t>
  </si>
  <si>
    <t>Mukesh Kehetan</t>
  </si>
  <si>
    <t>Vishal  Grag</t>
  </si>
  <si>
    <t xml:space="preserve">Kapil  </t>
  </si>
  <si>
    <t xml:space="preserve">Dipak  Grover </t>
  </si>
  <si>
    <t xml:space="preserve">Anil  Gawda </t>
  </si>
  <si>
    <t>Harrshal Sunil  Rane</t>
  </si>
  <si>
    <t>Sanwar  Agrawal</t>
  </si>
  <si>
    <t>Srinivasan (Cheenu) Venkatachalam</t>
  </si>
  <si>
    <t>Manicka vasagan (Manic) G</t>
  </si>
  <si>
    <t>Adithyan Asokan</t>
  </si>
  <si>
    <t>Dennis Susairaj. J</t>
  </si>
  <si>
    <t>Dhanashekaran (sekar ) Ramalingam</t>
  </si>
  <si>
    <t>Jaganathan (Jagan ) Krishnan</t>
  </si>
  <si>
    <t>Jeganathan S</t>
  </si>
  <si>
    <t>Ranjan Shankar</t>
  </si>
  <si>
    <t>Sunil Samtani</t>
  </si>
  <si>
    <t>Satheesh  Kumar Subramanium</t>
  </si>
  <si>
    <t>Santhosh Kumar</t>
  </si>
  <si>
    <t>Srini KG srinivas</t>
  </si>
  <si>
    <t>Satinder Minhas</t>
  </si>
  <si>
    <t>Chacko Smejo</t>
  </si>
  <si>
    <t>Vimal  Nair</t>
  </si>
  <si>
    <t>Vimal  Mohan</t>
  </si>
  <si>
    <t>Vasudevan Rangasamy</t>
  </si>
  <si>
    <t>Vivek Nath Balasundaram</t>
  </si>
  <si>
    <t>Rajeev Gandhi</t>
  </si>
  <si>
    <t>SenayanCC</t>
  </si>
  <si>
    <t>Melvin Ndoen</t>
  </si>
  <si>
    <t>Sachin Gopalan</t>
  </si>
  <si>
    <t>Febrian Dana Wiyoko</t>
  </si>
  <si>
    <t>Aditya Gustama</t>
  </si>
  <si>
    <t>Refan Desnika</t>
  </si>
  <si>
    <t>Juni Aryadi</t>
  </si>
  <si>
    <t>Agi Septyasa</t>
  </si>
  <si>
    <t>Ridwan Amin</t>
  </si>
  <si>
    <t>Arkha Tri Maryanto</t>
  </si>
  <si>
    <t>Alfaris</t>
  </si>
  <si>
    <t>Irwan Siregar</t>
  </si>
  <si>
    <t>Widi Abdurahman Hamid</t>
  </si>
  <si>
    <t>Yeri Rosongna</t>
  </si>
  <si>
    <t>Warwick Peters</t>
  </si>
  <si>
    <t>Corbon Loughnan</t>
  </si>
  <si>
    <t>OP Rajesh</t>
  </si>
  <si>
    <t>Suresh Subramanian</t>
  </si>
  <si>
    <t>Jon Burrough</t>
  </si>
  <si>
    <t>Mick Dumenil</t>
  </si>
  <si>
    <t>Cameron Knox</t>
  </si>
  <si>
    <t xml:space="preserve">Brock Fisher </t>
  </si>
  <si>
    <t>Charles Thursby-Pelham</t>
  </si>
  <si>
    <t xml:space="preserve">Justin Lee </t>
  </si>
  <si>
    <t>Steven Nealon</t>
  </si>
  <si>
    <t xml:space="preserve">Zacariah Cutliffe </t>
  </si>
  <si>
    <t xml:space="preserve">Cameron McNamara </t>
  </si>
  <si>
    <t xml:space="preserve">Liam Hammer </t>
  </si>
  <si>
    <t>Alistair Mann</t>
  </si>
  <si>
    <t>Sam Levick</t>
  </si>
  <si>
    <t>Brenton Harris</t>
  </si>
  <si>
    <t>Debmalaya Jana</t>
  </si>
  <si>
    <t>Tim Simpson</t>
  </si>
  <si>
    <t>DJ Mathew</t>
  </si>
  <si>
    <t>Rohit Nair</t>
  </si>
  <si>
    <t xml:space="preserve">Simon Williams </t>
  </si>
  <si>
    <t xml:space="preserve">Stew Lyons </t>
  </si>
  <si>
    <t xml:space="preserve">Mark Soffer </t>
  </si>
  <si>
    <t xml:space="preserve">Dick Slaney </t>
  </si>
  <si>
    <t xml:space="preserve">Phil Reid </t>
  </si>
  <si>
    <t xml:space="preserve">Davin Frankel </t>
  </si>
  <si>
    <t>James Trewin</t>
  </si>
  <si>
    <t>Sivarama Yegnaraman</t>
  </si>
  <si>
    <t xml:space="preserve">Aijaz Matoo </t>
  </si>
  <si>
    <t xml:space="preserve">Amir Mohammad </t>
  </si>
  <si>
    <t xml:space="preserve">Amar Kapadia </t>
  </si>
  <si>
    <t xml:space="preserve">Amit Ambre </t>
  </si>
  <si>
    <t xml:space="preserve">Amrithanand Mandook </t>
  </si>
  <si>
    <t xml:space="preserve">Anjar Tadarus </t>
  </si>
  <si>
    <t xml:space="preserve">Ashit Mehta </t>
  </si>
  <si>
    <t>Ashwin Sunder</t>
  </si>
  <si>
    <t xml:space="preserve">Cecil Jacob </t>
  </si>
  <si>
    <t xml:space="preserve">Faisal Hashmi </t>
  </si>
  <si>
    <t xml:space="preserve">Haider Ali </t>
  </si>
  <si>
    <t xml:space="preserve">Irfan Raza </t>
  </si>
  <si>
    <t xml:space="preserve">Javed Hayat </t>
  </si>
  <si>
    <t xml:space="preserve">Jibu Chacko </t>
  </si>
  <si>
    <t xml:space="preserve">Jimmy Ahmed </t>
  </si>
  <si>
    <t xml:space="preserve">Kanav Choudary </t>
  </si>
  <si>
    <t xml:space="preserve">Malik Arslan </t>
  </si>
  <si>
    <t xml:space="preserve">Parag Haldankar </t>
  </si>
  <si>
    <t xml:space="preserve">Prakash Vijaykumar </t>
  </si>
  <si>
    <t xml:space="preserve">Prem Subramanian </t>
  </si>
  <si>
    <t xml:space="preserve">Raj Kapadia </t>
  </si>
  <si>
    <t xml:space="preserve">Rajiv Ramnarayan </t>
  </si>
  <si>
    <t xml:space="preserve">Sandesh Pawar </t>
  </si>
  <si>
    <t xml:space="preserve">Shubho Sarkar </t>
  </si>
  <si>
    <t xml:space="preserve">Shubhraneel Mitra </t>
  </si>
  <si>
    <t>Sucheet Parikh</t>
  </si>
  <si>
    <t>Ahmad Ramdhoni</t>
  </si>
  <si>
    <t>Marten Eddy</t>
  </si>
  <si>
    <t>Stephen Barber</t>
  </si>
  <si>
    <t>Sandeep Kukkar</t>
  </si>
  <si>
    <t>Sravan Kumar</t>
  </si>
  <si>
    <t>Subhash Mogdil</t>
  </si>
  <si>
    <t>Hanan Khalid</t>
  </si>
  <si>
    <t>Aqsam Omar</t>
  </si>
  <si>
    <r>
      <t>Amit</t>
    </r>
    <r>
      <rPr>
        <i/>
        <sz val="11"/>
        <color theme="0" tint="-0.499984740745262"/>
        <rFont val="Calibri"/>
        <family val="2"/>
        <scheme val="minor"/>
      </rPr>
      <t xml:space="preserve"> Bhat</t>
    </r>
  </si>
  <si>
    <r>
      <t>Atul</t>
    </r>
    <r>
      <rPr>
        <i/>
        <sz val="11"/>
        <color theme="0" tint="-0.499984740745262"/>
        <rFont val="Calibri"/>
        <family val="2"/>
        <scheme val="minor"/>
      </rPr>
      <t xml:space="preserve"> Kakkar</t>
    </r>
  </si>
  <si>
    <r>
      <t>Deepak</t>
    </r>
    <r>
      <rPr>
        <i/>
        <sz val="11"/>
        <color theme="0" tint="-0.499984740745262"/>
        <rFont val="Calibri"/>
        <family val="2"/>
        <scheme val="minor"/>
      </rPr>
      <t xml:space="preserve"> Khullar</t>
    </r>
  </si>
  <si>
    <r>
      <t>Gajendra</t>
    </r>
    <r>
      <rPr>
        <i/>
        <sz val="11"/>
        <color theme="0" tint="-0.499984740745262"/>
        <rFont val="Calibri"/>
        <family val="2"/>
        <scheme val="minor"/>
      </rPr>
      <t xml:space="preserve"> Asaliya</t>
    </r>
  </si>
  <si>
    <r>
      <t>Hari</t>
    </r>
    <r>
      <rPr>
        <i/>
        <sz val="11"/>
        <color theme="0" tint="-0.499984740745262"/>
        <rFont val="Calibri"/>
        <family val="2"/>
        <scheme val="minor"/>
      </rPr>
      <t xml:space="preserve"> Krishnan</t>
    </r>
  </si>
  <si>
    <r>
      <t>Harish</t>
    </r>
    <r>
      <rPr>
        <i/>
        <sz val="11"/>
        <color theme="0" tint="-0.499984740745262"/>
        <rFont val="Calibri"/>
        <family val="2"/>
        <scheme val="minor"/>
      </rPr>
      <t xml:space="preserve"> Tiwari</t>
    </r>
  </si>
  <si>
    <r>
      <t>Harshad</t>
    </r>
    <r>
      <rPr>
        <i/>
        <sz val="11"/>
        <color theme="0" tint="-0.499984740745262"/>
        <rFont val="Calibri"/>
        <family val="2"/>
        <scheme val="minor"/>
      </rPr>
      <t xml:space="preserve"> Bhat</t>
    </r>
  </si>
  <si>
    <r>
      <t>John</t>
    </r>
    <r>
      <rPr>
        <i/>
        <sz val="11"/>
        <color theme="0" tint="-0.499984740745262"/>
        <rFont val="Calibri"/>
        <family val="2"/>
        <scheme val="minor"/>
      </rPr>
      <t xml:space="preserve"> Dulip Kumar</t>
    </r>
  </si>
  <si>
    <r>
      <t>Kapil</t>
    </r>
    <r>
      <rPr>
        <i/>
        <sz val="11"/>
        <color theme="0" tint="-0.499984740745262"/>
        <rFont val="Calibri"/>
        <family val="2"/>
        <scheme val="minor"/>
      </rPr>
      <t xml:space="preserve"> Bhutra</t>
    </r>
  </si>
  <si>
    <r>
      <t>Mahesh</t>
    </r>
    <r>
      <rPr>
        <i/>
        <sz val="11"/>
        <color theme="0" tint="-0.499984740745262"/>
        <rFont val="Calibri"/>
        <family val="2"/>
        <scheme val="minor"/>
      </rPr>
      <t xml:space="preserve"> Thadani</t>
    </r>
  </si>
  <si>
    <r>
      <t>Mohit</t>
    </r>
    <r>
      <rPr>
        <i/>
        <sz val="11"/>
        <color theme="0" tint="-0.499984740745262"/>
        <rFont val="Calibri"/>
        <family val="2"/>
        <scheme val="minor"/>
      </rPr>
      <t xml:space="preserve"> Keshwani</t>
    </r>
  </si>
  <si>
    <r>
      <t xml:space="preserve">Muhammad Ishaq </t>
    </r>
    <r>
      <rPr>
        <i/>
        <sz val="11"/>
        <color theme="0" tint="-0.499984740745262"/>
        <rFont val="Calibri"/>
        <family val="2"/>
        <scheme val="minor"/>
      </rPr>
      <t>Khan</t>
    </r>
  </si>
  <si>
    <r>
      <t>Neetesh</t>
    </r>
    <r>
      <rPr>
        <i/>
        <sz val="11"/>
        <color theme="0" tint="-0.499984740745262"/>
        <rFont val="Calibri"/>
        <family val="2"/>
        <scheme val="minor"/>
      </rPr>
      <t xml:space="preserve"> Pansare</t>
    </r>
  </si>
  <si>
    <r>
      <t>Rahul</t>
    </r>
    <r>
      <rPr>
        <i/>
        <sz val="11"/>
        <color theme="0" tint="-0.499984740745262"/>
        <rFont val="Calibri"/>
        <family val="2"/>
        <scheme val="minor"/>
      </rPr>
      <t xml:space="preserve"> Kukreja</t>
    </r>
  </si>
  <si>
    <r>
      <t>Rahul</t>
    </r>
    <r>
      <rPr>
        <i/>
        <sz val="11"/>
        <color theme="0" tint="-0.499984740745262"/>
        <rFont val="Calibri"/>
        <family val="2"/>
        <scheme val="minor"/>
      </rPr>
      <t xml:space="preserve"> Thukral</t>
    </r>
  </si>
  <si>
    <r>
      <t xml:space="preserve">Ravinder </t>
    </r>
    <r>
      <rPr>
        <i/>
        <sz val="11"/>
        <color theme="0" tint="-0.499984740745262"/>
        <rFont val="Calibri"/>
        <family val="2"/>
        <scheme val="minor"/>
      </rPr>
      <t>Singh</t>
    </r>
  </si>
  <si>
    <r>
      <t>Rikesh</t>
    </r>
    <r>
      <rPr>
        <i/>
        <sz val="11"/>
        <color theme="0" tint="-0.499984740745262"/>
        <rFont val="Calibri"/>
        <family val="2"/>
        <scheme val="minor"/>
      </rPr>
      <t xml:space="preserve"> Parikh</t>
    </r>
  </si>
  <si>
    <r>
      <t>Shekhar</t>
    </r>
    <r>
      <rPr>
        <i/>
        <sz val="11"/>
        <color theme="0" tint="-0.499984740745262"/>
        <rFont val="Calibri"/>
        <family val="2"/>
        <scheme val="minor"/>
      </rPr>
      <t xml:space="preserve"> Saraf</t>
    </r>
  </si>
  <si>
    <r>
      <t>Sushant</t>
    </r>
    <r>
      <rPr>
        <i/>
        <sz val="11"/>
        <color theme="0" tint="-0.499984740745262"/>
        <rFont val="Calibri"/>
        <family val="2"/>
        <scheme val="minor"/>
      </rPr>
      <t xml:space="preserve"> Gambhir</t>
    </r>
  </si>
  <si>
    <t>Rahul Pagad</t>
  </si>
  <si>
    <t>Muhaddis Muhaddis</t>
  </si>
  <si>
    <t xml:space="preserve">Puneet Khurana </t>
  </si>
  <si>
    <t>Fachri Nurhadi</t>
  </si>
  <si>
    <t>Gema Fajar</t>
  </si>
  <si>
    <t>Muhammad Ari Cahyo Nugroho</t>
  </si>
  <si>
    <t>Muhammad Syahrul Rahmadan</t>
  </si>
  <si>
    <t>Angga Lucky</t>
  </si>
  <si>
    <t>Fernandes Nato Wellarana</t>
  </si>
  <si>
    <t>Fiskal Tirta Yoga Sabara</t>
  </si>
  <si>
    <t>Rudolf Febyant Matatias</t>
  </si>
  <si>
    <t>Chandroo R Rajalingam</t>
  </si>
  <si>
    <t>Arun Swve</t>
  </si>
  <si>
    <t>Sabu Joy</t>
  </si>
  <si>
    <r>
      <t>Anandalwar</t>
    </r>
    <r>
      <rPr>
        <i/>
        <sz val="11"/>
        <color theme="0" tint="-0.499984740745262"/>
        <rFont val="Calibri"/>
        <family val="2"/>
        <scheme val="minor"/>
      </rPr>
      <t xml:space="preserve"> Santhanam</t>
    </r>
  </si>
  <si>
    <r>
      <t>Ashwin</t>
    </r>
    <r>
      <rPr>
        <i/>
        <sz val="11"/>
        <color theme="0" tint="-0.499984740745262"/>
        <rFont val="Calibri"/>
        <family val="2"/>
        <scheme val="minor"/>
      </rPr>
      <t xml:space="preserve"> Shetty</t>
    </r>
  </si>
  <si>
    <r>
      <t>John</t>
    </r>
    <r>
      <rPr>
        <i/>
        <sz val="11"/>
        <color theme="0" tint="-0.499984740745262"/>
        <rFont val="Calibri"/>
        <family val="2"/>
        <scheme val="minor"/>
      </rPr>
      <t xml:space="preserve"> Anthony</t>
    </r>
  </si>
  <si>
    <r>
      <t>Karthikeyan</t>
    </r>
    <r>
      <rPr>
        <i/>
        <sz val="11"/>
        <color theme="0" tint="-0.499984740745262"/>
        <rFont val="Calibri"/>
        <family val="2"/>
        <scheme val="minor"/>
      </rPr>
      <t xml:space="preserve"> Sakthivel</t>
    </r>
  </si>
  <si>
    <r>
      <t>Kiruba</t>
    </r>
    <r>
      <rPr>
        <i/>
        <sz val="11"/>
        <color theme="0" tint="-0.499984740745262"/>
        <rFont val="Calibri"/>
        <family val="2"/>
        <scheme val="minor"/>
      </rPr>
      <t xml:space="preserve"> Sankar</t>
    </r>
  </si>
  <si>
    <r>
      <t>Narasimha</t>
    </r>
    <r>
      <rPr>
        <i/>
        <sz val="11"/>
        <color theme="0" tint="-0.499984740745262"/>
        <rFont val="Calibri"/>
        <family val="2"/>
        <scheme val="minor"/>
      </rPr>
      <t xml:space="preserve"> Lakshmi Gowda</t>
    </r>
  </si>
  <si>
    <r>
      <t>Prabhukaliraj</t>
    </r>
    <r>
      <rPr>
        <i/>
        <sz val="11"/>
        <color theme="0" tint="-0.499984740745262"/>
        <rFont val="Calibri"/>
        <family val="2"/>
        <scheme val="minor"/>
      </rPr>
      <t xml:space="preserve"> Kanagarajan</t>
    </r>
  </si>
  <si>
    <r>
      <t>Prem Kumar</t>
    </r>
    <r>
      <rPr>
        <i/>
        <sz val="11"/>
        <color theme="0" tint="-0.499984740745262"/>
        <rFont val="Calibri"/>
        <family val="2"/>
        <scheme val="minor"/>
      </rPr>
      <t xml:space="preserve"> Subbaiah</t>
    </r>
  </si>
  <si>
    <r>
      <t>Ramachandran</t>
    </r>
    <r>
      <rPr>
        <i/>
        <sz val="11"/>
        <color theme="0" tint="-0.499984740745262"/>
        <rFont val="Calibri"/>
        <family val="2"/>
        <scheme val="minor"/>
      </rPr>
      <t xml:space="preserve"> parthasarathy</t>
    </r>
  </si>
  <si>
    <r>
      <t>Reddy</t>
    </r>
    <r>
      <rPr>
        <i/>
        <sz val="11"/>
        <color theme="0" tint="-0.499984740745262"/>
        <rFont val="Calibri"/>
        <family val="2"/>
        <scheme val="minor"/>
      </rPr>
      <t xml:space="preserve"> A.V</t>
    </r>
  </si>
  <si>
    <r>
      <t>Sakthi</t>
    </r>
    <r>
      <rPr>
        <i/>
        <sz val="11"/>
        <color theme="0" tint="-0.499984740745262"/>
        <rFont val="Calibri"/>
        <family val="2"/>
        <scheme val="minor"/>
      </rPr>
      <t xml:space="preserve"> Narayanan</t>
    </r>
  </si>
  <si>
    <r>
      <t>Salahudeen</t>
    </r>
    <r>
      <rPr>
        <i/>
        <sz val="11"/>
        <color theme="0" tint="-0.499984740745262"/>
        <rFont val="Calibri"/>
        <family val="2"/>
        <scheme val="minor"/>
      </rPr>
      <t xml:space="preserve"> Hameed Mohamed</t>
    </r>
  </si>
  <si>
    <r>
      <t>Sivakumar</t>
    </r>
    <r>
      <rPr>
        <i/>
        <sz val="11"/>
        <color theme="0" tint="-0.499984740745262"/>
        <rFont val="Calibri"/>
        <family val="2"/>
        <scheme val="minor"/>
      </rPr>
      <t xml:space="preserve"> Thangasamy Suriyamoorthy</t>
    </r>
  </si>
  <si>
    <r>
      <t>Srivathsan</t>
    </r>
    <r>
      <rPr>
        <i/>
        <sz val="11"/>
        <color theme="0" tint="-0.499984740745262"/>
        <rFont val="Calibri"/>
        <family val="2"/>
        <scheme val="minor"/>
      </rPr>
      <t xml:space="preserve"> V B</t>
    </r>
  </si>
  <si>
    <r>
      <t>Suresh</t>
    </r>
    <r>
      <rPr>
        <i/>
        <sz val="11"/>
        <color theme="0" tint="-0.499984740745262"/>
        <rFont val="Calibri"/>
        <family val="2"/>
        <scheme val="minor"/>
      </rPr>
      <t xml:space="preserve"> Chidambaram</t>
    </r>
  </si>
  <si>
    <r>
      <t>Venkatesh</t>
    </r>
    <r>
      <rPr>
        <i/>
        <sz val="11"/>
        <color theme="0" tint="-0.499984740745262"/>
        <rFont val="Calibri"/>
        <family val="2"/>
        <scheme val="minor"/>
      </rPr>
      <t xml:space="preserve"> Rajendran</t>
    </r>
  </si>
  <si>
    <t>On Sheet 1 only, go to the bottom of the list of players for your club (eg for WISCI, cell A83 Willian Noronha)</t>
  </si>
  <si>
    <r>
      <t xml:space="preserve">Find your club/team name, which should appear </t>
    </r>
    <r>
      <rPr>
        <b/>
        <sz val="11"/>
        <color theme="1"/>
        <rFont val="Calibri"/>
        <family val="2"/>
        <scheme val="minor"/>
      </rPr>
      <t>twice</t>
    </r>
    <r>
      <rPr>
        <sz val="11"/>
        <color theme="1"/>
        <rFont val="Calibri"/>
        <family val="2"/>
        <scheme val="minor"/>
      </rPr>
      <t xml:space="preserve">, and in </t>
    </r>
    <r>
      <rPr>
        <b/>
        <sz val="11"/>
        <color theme="1"/>
        <rFont val="Calibri"/>
        <family val="2"/>
        <scheme val="minor"/>
      </rPr>
      <t>both</t>
    </r>
    <r>
      <rPr>
        <sz val="11"/>
        <color theme="1"/>
        <rFont val="Calibri"/>
        <family val="2"/>
        <scheme val="minor"/>
      </rPr>
      <t xml:space="preserve"> lines check that 'value' in the 'refers to' box extends down the list length to include the newly typed name. If it does not edit it so it does.</t>
    </r>
  </si>
  <si>
    <t>If three new names were added to WISCI instead of one you would change A84 to A86 in both lines</t>
  </si>
  <si>
    <t xml:space="preserve">WISCI name list was A58 to A84, after adding one name, no change would be needed </t>
  </si>
</sst>
</file>

<file path=xl/styles.xml><?xml version="1.0" encoding="utf-8"?>
<styleSheet xmlns="http://schemas.openxmlformats.org/spreadsheetml/2006/main">
  <numFmts count="2">
    <numFmt numFmtId="164" formatCode="[$-14809]d\ mmmm\,\ yyyy;@"/>
    <numFmt numFmtId="165" formatCode="0.00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</font>
    <font>
      <b/>
      <sz val="20"/>
      <color rgb="FFFFFF00"/>
      <name val="Arial"/>
      <family val="2"/>
    </font>
    <font>
      <sz val="11"/>
      <color theme="9" tint="0.3999755851924192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>
        <stop position="0">
          <color theme="4" tint="0.80001220740379042"/>
        </stop>
        <stop position="0.5">
          <color theme="0"/>
        </stop>
        <stop position="1">
          <color theme="4" tint="0.80001220740379042"/>
        </stop>
      </gradientFill>
    </fill>
    <fill>
      <gradientFill>
        <stop position="0">
          <color theme="3" tint="0.59999389629810485"/>
        </stop>
        <stop position="0.5">
          <color theme="0"/>
        </stop>
        <stop position="1">
          <color theme="3" tint="0.59999389629810485"/>
        </stop>
      </gradient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/>
    <xf numFmtId="0" fontId="6" fillId="0" borderId="0" xfId="1" applyAlignment="1" applyProtection="1">
      <alignment wrapText="1"/>
    </xf>
    <xf numFmtId="2" fontId="0" fillId="0" borderId="0" xfId="0" applyNumberFormat="1" applyFill="1" applyBorder="1" applyProtection="1"/>
    <xf numFmtId="0" fontId="0" fillId="2" borderId="0" xfId="0" applyFill="1" applyProtection="1">
      <protection locked="0"/>
    </xf>
    <xf numFmtId="0" fontId="0" fillId="2" borderId="1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4" borderId="0" xfId="0" applyFont="1" applyFill="1" applyProtection="1">
      <protection locked="0"/>
    </xf>
    <xf numFmtId="0" fontId="7" fillId="4" borderId="0" xfId="0" applyFont="1" applyFill="1" applyAlignment="1" applyProtection="1">
      <protection locked="0"/>
    </xf>
    <xf numFmtId="0" fontId="5" fillId="4" borderId="0" xfId="0" applyFont="1" applyFill="1" applyAlignment="1" applyProtection="1">
      <protection locked="0"/>
    </xf>
    <xf numFmtId="0" fontId="8" fillId="4" borderId="0" xfId="1" applyFont="1" applyFill="1" applyAlignment="1" applyProtection="1">
      <alignment wrapText="1"/>
      <protection locked="0"/>
    </xf>
    <xf numFmtId="0" fontId="8" fillId="4" borderId="0" xfId="1" applyFont="1" applyFill="1" applyAlignment="1" applyProtection="1">
      <protection locked="0"/>
    </xf>
    <xf numFmtId="0" fontId="5" fillId="4" borderId="0" xfId="0" applyFont="1" applyFill="1" applyAlignment="1" applyProtection="1">
      <alignment wrapText="1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14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0" fillId="0" borderId="6" xfId="0" applyBorder="1" applyAlignment="1" applyProtection="1">
      <alignment horizontal="center"/>
    </xf>
    <xf numFmtId="0" fontId="0" fillId="0" borderId="22" xfId="0" applyBorder="1" applyProtection="1"/>
    <xf numFmtId="0" fontId="0" fillId="0" borderId="16" xfId="0" applyBorder="1" applyProtection="1"/>
    <xf numFmtId="0" fontId="0" fillId="0" borderId="6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7" xfId="0" applyBorder="1" applyProtection="1"/>
    <xf numFmtId="0" fontId="0" fillId="0" borderId="6" xfId="0" applyBorder="1" applyProtection="1"/>
    <xf numFmtId="0" fontId="3" fillId="0" borderId="0" xfId="0" applyFont="1" applyFill="1" applyBorder="1" applyAlignment="1" applyProtection="1">
      <alignment horizontal="right"/>
    </xf>
    <xf numFmtId="0" fontId="0" fillId="0" borderId="25" xfId="0" applyBorder="1" applyProtection="1"/>
    <xf numFmtId="0" fontId="0" fillId="0" borderId="26" xfId="0" applyBorder="1" applyAlignment="1" applyProtection="1">
      <alignment horizontal="center"/>
    </xf>
    <xf numFmtId="1" fontId="0" fillId="0" borderId="26" xfId="0" applyNumberFormat="1" applyFill="1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0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1" xfId="0" applyFill="1" applyBorder="1" applyProtection="1"/>
    <xf numFmtId="0" fontId="0" fillId="0" borderId="24" xfId="0" applyFill="1" applyBorder="1" applyProtection="1"/>
    <xf numFmtId="0" fontId="1" fillId="0" borderId="2" xfId="0" applyFont="1" applyFill="1" applyBorder="1" applyProtection="1"/>
    <xf numFmtId="0" fontId="0" fillId="0" borderId="4" xfId="0" applyBorder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5" xfId="0" applyBorder="1" applyProtection="1"/>
    <xf numFmtId="0" fontId="0" fillId="0" borderId="11" xfId="0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4" borderId="0" xfId="0" applyFont="1" applyFill="1" applyProtection="1"/>
    <xf numFmtId="0" fontId="5" fillId="4" borderId="18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5" fillId="4" borderId="0" xfId="0" applyFont="1" applyFill="1" applyBorder="1" applyProtection="1"/>
    <xf numFmtId="0" fontId="0" fillId="0" borderId="0" xfId="0" quotePrefix="1"/>
    <xf numFmtId="0" fontId="3" fillId="0" borderId="0" xfId="0" applyFont="1"/>
    <xf numFmtId="0" fontId="0" fillId="0" borderId="0" xfId="0" applyAlignment="1">
      <alignment horizontal="right"/>
    </xf>
    <xf numFmtId="0" fontId="0" fillId="3" borderId="2" xfId="0" applyFill="1" applyBorder="1"/>
    <xf numFmtId="0" fontId="0" fillId="3" borderId="29" xfId="0" applyFill="1" applyBorder="1"/>
    <xf numFmtId="0" fontId="0" fillId="3" borderId="28" xfId="0" applyFill="1" applyBorder="1"/>
    <xf numFmtId="0" fontId="10" fillId="4" borderId="19" xfId="0" applyFont="1" applyFill="1" applyBorder="1"/>
    <xf numFmtId="0" fontId="10" fillId="4" borderId="0" xfId="0" applyFont="1" applyFill="1" applyBorder="1"/>
    <xf numFmtId="0" fontId="10" fillId="4" borderId="0" xfId="0" applyFont="1" applyFill="1"/>
    <xf numFmtId="0" fontId="10" fillId="4" borderId="18" xfId="0" applyFont="1" applyFill="1" applyBorder="1"/>
    <xf numFmtId="0" fontId="2" fillId="0" borderId="0" xfId="0" applyFont="1"/>
    <xf numFmtId="0" fontId="0" fillId="4" borderId="1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Alignment="1" applyProtection="1">
      <protection locked="0"/>
    </xf>
    <xf numFmtId="2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4" fillId="8" borderId="0" xfId="0" applyFont="1" applyFill="1" applyProtection="1"/>
    <xf numFmtId="0" fontId="4" fillId="8" borderId="18" xfId="0" applyFont="1" applyFill="1" applyBorder="1" applyProtection="1"/>
    <xf numFmtId="0" fontId="4" fillId="8" borderId="19" xfId="0" applyFont="1" applyFill="1" applyBorder="1" applyProtection="1"/>
    <xf numFmtId="0" fontId="4" fillId="8" borderId="0" xfId="0" applyFont="1" applyFill="1" applyBorder="1" applyProtection="1"/>
    <xf numFmtId="0" fontId="0" fillId="8" borderId="0" xfId="0" applyFill="1" applyProtection="1"/>
    <xf numFmtId="0" fontId="11" fillId="0" borderId="5" xfId="0" applyFont="1" applyBorder="1" applyProtection="1"/>
    <xf numFmtId="0" fontId="0" fillId="9" borderId="7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0" fillId="9" borderId="15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23" xfId="0" applyFill="1" applyBorder="1" applyProtection="1">
      <protection locked="0"/>
    </xf>
    <xf numFmtId="0" fontId="0" fillId="9" borderId="19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11" fillId="9" borderId="3" xfId="0" applyFont="1" applyFill="1" applyBorder="1" applyProtection="1"/>
    <xf numFmtId="0" fontId="11" fillId="9" borderId="5" xfId="0" applyFont="1" applyFill="1" applyBorder="1" applyProtection="1"/>
    <xf numFmtId="0" fontId="11" fillId="9" borderId="6" xfId="0" applyFont="1" applyFill="1" applyBorder="1" applyProtection="1">
      <protection locked="0"/>
    </xf>
    <xf numFmtId="0" fontId="11" fillId="9" borderId="7" xfId="0" applyFont="1" applyFill="1" applyBorder="1" applyProtection="1">
      <protection locked="0"/>
    </xf>
    <xf numFmtId="0" fontId="11" fillId="9" borderId="8" xfId="0" applyFont="1" applyFill="1" applyBorder="1" applyProtection="1">
      <protection locked="0"/>
    </xf>
    <xf numFmtId="0" fontId="11" fillId="9" borderId="10" xfId="0" applyFont="1" applyFill="1" applyBorder="1" applyProtection="1">
      <protection locked="0"/>
    </xf>
    <xf numFmtId="0" fontId="5" fillId="8" borderId="0" xfId="0" applyFont="1" applyFill="1" applyBorder="1" applyProtection="1"/>
    <xf numFmtId="0" fontId="5" fillId="8" borderId="0" xfId="0" applyFont="1" applyFill="1" applyProtection="1"/>
    <xf numFmtId="0" fontId="0" fillId="8" borderId="0" xfId="0" applyFill="1" applyBorder="1" applyProtection="1"/>
    <xf numFmtId="0" fontId="5" fillId="8" borderId="4" xfId="0" applyFont="1" applyFill="1" applyBorder="1" applyAlignment="1" applyProtection="1"/>
    <xf numFmtId="0" fontId="5" fillId="8" borderId="0" xfId="0" applyFont="1" applyFill="1" applyBorder="1" applyAlignment="1" applyProtection="1">
      <alignment horizontal="center"/>
    </xf>
    <xf numFmtId="2" fontId="5" fillId="8" borderId="0" xfId="0" applyNumberFormat="1" applyFont="1" applyFill="1" applyBorder="1" applyAlignment="1" applyProtection="1"/>
    <xf numFmtId="2" fontId="5" fillId="8" borderId="32" xfId="0" applyNumberFormat="1" applyFont="1" applyFill="1" applyBorder="1" applyAlignment="1" applyProtection="1"/>
    <xf numFmtId="2" fontId="5" fillId="8" borderId="1" xfId="0" applyNumberFormat="1" applyFont="1" applyFill="1" applyBorder="1" applyAlignment="1" applyProtection="1"/>
    <xf numFmtId="2" fontId="5" fillId="8" borderId="21" xfId="0" applyNumberFormat="1" applyFont="1" applyFill="1" applyBorder="1" applyAlignment="1" applyProtection="1"/>
    <xf numFmtId="2" fontId="5" fillId="8" borderId="37" xfId="0" applyNumberFormat="1" applyFont="1" applyFill="1" applyBorder="1" applyAlignment="1" applyProtection="1"/>
    <xf numFmtId="0" fontId="5" fillId="8" borderId="0" xfId="0" applyFont="1" applyFill="1" applyBorder="1" applyAlignment="1" applyProtection="1"/>
    <xf numFmtId="165" fontId="5" fillId="8" borderId="0" xfId="0" applyNumberFormat="1" applyFont="1" applyFill="1" applyBorder="1" applyAlignment="1" applyProtection="1"/>
    <xf numFmtId="0" fontId="5" fillId="8" borderId="7" xfId="0" applyFont="1" applyFill="1" applyBorder="1" applyAlignment="1" applyProtection="1">
      <alignment horizontal="center"/>
    </xf>
    <xf numFmtId="0" fontId="5" fillId="8" borderId="9" xfId="0" applyFont="1" applyFill="1" applyBorder="1" applyAlignment="1" applyProtection="1">
      <alignment horizontal="center"/>
    </xf>
    <xf numFmtId="2" fontId="5" fillId="8" borderId="9" xfId="0" applyNumberFormat="1" applyFont="1" applyFill="1" applyBorder="1" applyAlignment="1" applyProtection="1"/>
    <xf numFmtId="2" fontId="5" fillId="8" borderId="33" xfId="0" applyNumberFormat="1" applyFont="1" applyFill="1" applyBorder="1" applyAlignment="1" applyProtection="1"/>
    <xf numFmtId="2" fontId="5" fillId="8" borderId="20" xfId="0" applyNumberFormat="1" applyFont="1" applyFill="1" applyBorder="1" applyAlignment="1" applyProtection="1"/>
    <xf numFmtId="2" fontId="5" fillId="8" borderId="35" xfId="0" applyNumberFormat="1" applyFont="1" applyFill="1" applyBorder="1" applyAlignment="1" applyProtection="1"/>
    <xf numFmtId="2" fontId="5" fillId="8" borderId="38" xfId="0" applyNumberFormat="1" applyFont="1" applyFill="1" applyBorder="1" applyAlignment="1" applyProtection="1"/>
    <xf numFmtId="0" fontId="5" fillId="8" borderId="9" xfId="0" applyFont="1" applyFill="1" applyBorder="1" applyAlignment="1" applyProtection="1"/>
    <xf numFmtId="165" fontId="5" fillId="8" borderId="9" xfId="0" applyNumberFormat="1" applyFont="1" applyFill="1" applyBorder="1" applyAlignment="1" applyProtection="1"/>
    <xf numFmtId="0" fontId="5" fillId="8" borderId="10" xfId="0" applyFont="1" applyFill="1" applyBorder="1" applyAlignment="1" applyProtection="1">
      <alignment horizontal="center"/>
    </xf>
    <xf numFmtId="0" fontId="0" fillId="9" borderId="14" xfId="0" applyFill="1" applyBorder="1" applyProtection="1">
      <protection locked="0"/>
    </xf>
    <xf numFmtId="0" fontId="0" fillId="9" borderId="22" xfId="0" applyFill="1" applyBorder="1" applyProtection="1">
      <protection locked="0"/>
    </xf>
    <xf numFmtId="0" fontId="0" fillId="9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19" xfId="0" applyFill="1" applyBorder="1" applyProtection="1"/>
    <xf numFmtId="0" fontId="5" fillId="8" borderId="3" xfId="0" applyFont="1" applyFill="1" applyBorder="1" applyAlignment="1" applyProtection="1"/>
    <xf numFmtId="0" fontId="5" fillId="8" borderId="4" xfId="0" applyFont="1" applyFill="1" applyBorder="1" applyAlignment="1" applyProtection="1">
      <alignment horizontal="center"/>
    </xf>
    <xf numFmtId="0" fontId="5" fillId="8" borderId="30" xfId="0" applyFont="1" applyFill="1" applyBorder="1" applyAlignment="1" applyProtection="1">
      <alignment horizontal="center"/>
    </xf>
    <xf numFmtId="0" fontId="5" fillId="8" borderId="31" xfId="0" applyFont="1" applyFill="1" applyBorder="1" applyAlignment="1" applyProtection="1">
      <alignment horizontal="center"/>
    </xf>
    <xf numFmtId="0" fontId="5" fillId="8" borderId="34" xfId="0" applyFont="1" applyFill="1" applyBorder="1" applyAlignment="1" applyProtection="1">
      <alignment horizontal="center"/>
    </xf>
    <xf numFmtId="0" fontId="5" fillId="8" borderId="36" xfId="0" applyFont="1" applyFill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/>
    </xf>
    <xf numFmtId="0" fontId="5" fillId="8" borderId="6" xfId="0" applyFont="1" applyFill="1" applyBorder="1" applyAlignment="1" applyProtection="1"/>
    <xf numFmtId="1" fontId="5" fillId="8" borderId="0" xfId="0" applyNumberFormat="1" applyFont="1" applyFill="1" applyBorder="1" applyAlignment="1" applyProtection="1"/>
    <xf numFmtId="0" fontId="5" fillId="8" borderId="8" xfId="0" applyFont="1" applyFill="1" applyBorder="1" applyAlignment="1" applyProtection="1"/>
    <xf numFmtId="1" fontId="5" fillId="8" borderId="9" xfId="0" applyNumberFormat="1" applyFont="1" applyFill="1" applyBorder="1" applyAlignment="1" applyProtection="1"/>
    <xf numFmtId="0" fontId="0" fillId="9" borderId="12" xfId="0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4" borderId="0" xfId="0" applyFill="1" applyAlignment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4" fillId="9" borderId="0" xfId="0" applyFont="1" applyFill="1" applyBorder="1" applyAlignment="1" applyProtection="1">
      <alignment horizontal="center"/>
      <protection locked="0"/>
    </xf>
    <xf numFmtId="0" fontId="4" fillId="9" borderId="19" xfId="0" applyFont="1" applyFill="1" applyBorder="1" applyAlignment="1" applyProtection="1">
      <alignment horizontal="center"/>
      <protection locked="0"/>
    </xf>
    <xf numFmtId="0" fontId="0" fillId="9" borderId="5" xfId="0" applyFill="1" applyBorder="1" applyProtection="1"/>
    <xf numFmtId="0" fontId="0" fillId="0" borderId="16" xfId="0" applyFill="1" applyBorder="1" applyProtection="1"/>
    <xf numFmtId="0" fontId="11" fillId="9" borderId="18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7" fillId="10" borderId="0" xfId="0" applyFont="1" applyFill="1" applyAlignment="1" applyProtection="1">
      <protection locked="0"/>
    </xf>
    <xf numFmtId="0" fontId="13" fillId="4" borderId="0" xfId="0" applyFont="1" applyFill="1" applyProtection="1"/>
    <xf numFmtId="0" fontId="6" fillId="0" borderId="0" xfId="1" applyAlignment="1" applyProtection="1"/>
    <xf numFmtId="0" fontId="7" fillId="11" borderId="0" xfId="0" applyFont="1" applyFill="1" applyAlignment="1" applyProtection="1">
      <protection locked="0"/>
    </xf>
    <xf numFmtId="0" fontId="12" fillId="11" borderId="0" xfId="0" applyFont="1" applyFill="1" applyAlignment="1" applyProtection="1">
      <protection locked="0"/>
    </xf>
    <xf numFmtId="0" fontId="15" fillId="11" borderId="0" xfId="0" applyFont="1" applyFill="1" applyAlignment="1" applyProtection="1">
      <protection locked="0"/>
    </xf>
    <xf numFmtId="0" fontId="5" fillId="11" borderId="0" xfId="0" applyFont="1" applyFill="1" applyAlignment="1" applyProtection="1">
      <protection locked="0"/>
    </xf>
    <xf numFmtId="0" fontId="9" fillId="7" borderId="6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11" borderId="0" xfId="1" applyFont="1" applyFill="1" applyAlignment="1" applyProtection="1">
      <protection locked="0"/>
    </xf>
    <xf numFmtId="0" fontId="8" fillId="11" borderId="0" xfId="1" applyFont="1" applyFill="1" applyAlignment="1" applyProtection="1">
      <alignment wrapText="1"/>
      <protection locked="0"/>
    </xf>
    <xf numFmtId="0" fontId="5" fillId="11" borderId="0" xfId="0" applyFont="1" applyFill="1" applyProtection="1">
      <protection locked="0"/>
    </xf>
    <xf numFmtId="0" fontId="11" fillId="0" borderId="0" xfId="0" applyFont="1" applyFill="1"/>
    <xf numFmtId="0" fontId="16" fillId="0" borderId="0" xfId="0" applyFont="1" applyFill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24</xdr:row>
      <xdr:rowOff>0</xdr:rowOff>
    </xdr:from>
    <xdr:to>
      <xdr:col>9</xdr:col>
      <xdr:colOff>476250</xdr:colOff>
      <xdr:row>45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4762500"/>
          <a:ext cx="5391150" cy="417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3"/>
  <sheetViews>
    <sheetView tabSelected="1" zoomScale="75" zoomScaleNormal="75" workbookViewId="0">
      <selection activeCell="P83" sqref="P83"/>
    </sheetView>
  </sheetViews>
  <sheetFormatPr defaultRowHeight="15"/>
  <cols>
    <col min="1" max="1" width="14" style="23" customWidth="1"/>
    <col min="2" max="2" width="27" style="23" customWidth="1"/>
    <col min="3" max="3" width="18.28515625" style="23" customWidth="1"/>
    <col min="4" max="4" width="21" style="23" customWidth="1"/>
    <col min="5" max="5" width="17.7109375" style="23" customWidth="1"/>
    <col min="6" max="6" width="4.42578125" style="23" customWidth="1"/>
    <col min="7" max="7" width="4.85546875" style="23" customWidth="1"/>
    <col min="8" max="8" width="7" style="23" customWidth="1"/>
    <col min="9" max="9" width="4.28515625" style="23" customWidth="1"/>
    <col min="10" max="10" width="4.42578125" style="23" customWidth="1"/>
    <col min="11" max="26" width="9.140625" style="23"/>
    <col min="27" max="27" width="11.5703125" style="23" bestFit="1" customWidth="1"/>
    <col min="28" max="28" width="10.5703125" style="23" bestFit="1" customWidth="1"/>
    <col min="29" max="33" width="9.140625" style="23"/>
    <col min="34" max="34" width="18" style="23" customWidth="1"/>
    <col min="35" max="35" width="21" style="23" customWidth="1"/>
    <col min="36" max="36" width="8.140625" style="23" customWidth="1"/>
    <col min="37" max="37" width="7.85546875" style="23" customWidth="1"/>
    <col min="38" max="43" width="9.140625" style="23"/>
    <col min="44" max="45" width="9.140625" style="90"/>
    <col min="46" max="16384" width="9.140625" style="23"/>
  </cols>
  <sheetData>
    <row r="1" spans="1:17" ht="26.25">
      <c r="A1" s="171" t="s">
        <v>307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>
      <c r="A2" s="23" t="s">
        <v>56</v>
      </c>
      <c r="B2" s="5"/>
      <c r="E2" s="23" t="s">
        <v>0</v>
      </c>
      <c r="H2" s="88"/>
      <c r="I2" s="24"/>
      <c r="K2" s="132" t="s">
        <v>66</v>
      </c>
      <c r="L2" s="98"/>
      <c r="M2" s="98"/>
      <c r="N2" s="98"/>
      <c r="O2" s="98"/>
      <c r="P2" s="99"/>
    </row>
    <row r="3" spans="1:17">
      <c r="A3" s="23" t="s">
        <v>359</v>
      </c>
      <c r="B3" s="5"/>
      <c r="E3" s="23" t="s">
        <v>2</v>
      </c>
      <c r="H3" s="5"/>
      <c r="I3" s="24"/>
      <c r="K3" s="133"/>
      <c r="L3" s="100"/>
      <c r="M3" s="100"/>
      <c r="N3" s="100"/>
      <c r="O3" s="100"/>
      <c r="P3" s="101"/>
    </row>
    <row r="4" spans="1:17">
      <c r="A4" s="23" t="s">
        <v>360</v>
      </c>
      <c r="B4" s="5"/>
      <c r="E4" s="23" t="s">
        <v>1</v>
      </c>
      <c r="H4" s="5"/>
      <c r="I4" s="24"/>
      <c r="K4" s="134"/>
      <c r="L4" s="102"/>
      <c r="M4" s="102"/>
      <c r="N4" s="102"/>
      <c r="O4" s="102"/>
      <c r="P4" s="103"/>
    </row>
    <row r="5" spans="1:17">
      <c r="A5" s="23" t="s">
        <v>60</v>
      </c>
      <c r="B5" s="5"/>
    </row>
    <row r="6" spans="1:17" ht="15.75" thickBot="1">
      <c r="A6" s="23" t="s">
        <v>5</v>
      </c>
      <c r="K6" s="23" t="s">
        <v>18</v>
      </c>
    </row>
    <row r="7" spans="1:17">
      <c r="A7" s="25" t="s">
        <v>6</v>
      </c>
      <c r="B7" s="26" t="s">
        <v>7</v>
      </c>
      <c r="C7" s="26" t="s">
        <v>8</v>
      </c>
      <c r="D7" s="26" t="s">
        <v>67</v>
      </c>
      <c r="E7" s="26" t="s">
        <v>9</v>
      </c>
      <c r="F7" s="26" t="s">
        <v>10</v>
      </c>
      <c r="G7" s="26" t="s">
        <v>12</v>
      </c>
      <c r="H7" s="26" t="s">
        <v>28</v>
      </c>
      <c r="I7" s="26" t="s">
        <v>11</v>
      </c>
      <c r="J7" s="26" t="s">
        <v>13</v>
      </c>
      <c r="K7" s="96" t="s">
        <v>81</v>
      </c>
      <c r="M7" s="27" t="s">
        <v>20</v>
      </c>
      <c r="N7" s="28" t="s">
        <v>19</v>
      </c>
      <c r="O7" s="28" t="s">
        <v>74</v>
      </c>
      <c r="P7" s="29" t="s">
        <v>75</v>
      </c>
      <c r="Q7" s="110" t="s">
        <v>379</v>
      </c>
    </row>
    <row r="8" spans="1:17">
      <c r="A8" s="30">
        <v>1</v>
      </c>
      <c r="B8" s="8"/>
      <c r="C8" s="8"/>
      <c r="D8" s="75"/>
      <c r="E8" s="75"/>
      <c r="F8" s="8"/>
      <c r="G8" s="8"/>
      <c r="H8" s="4" t="e">
        <f>100*F8/G8</f>
        <v>#DIV/0!</v>
      </c>
      <c r="I8" s="87"/>
      <c r="J8" s="87"/>
      <c r="K8" s="97"/>
      <c r="M8" s="31">
        <v>1</v>
      </c>
      <c r="N8" s="8"/>
      <c r="O8" s="8"/>
      <c r="P8" s="9"/>
      <c r="Q8" s="111">
        <f>N8</f>
        <v>0</v>
      </c>
    </row>
    <row r="9" spans="1:17">
      <c r="A9" s="30">
        <v>2</v>
      </c>
      <c r="B9" s="8"/>
      <c r="C9" s="8"/>
      <c r="D9" s="75"/>
      <c r="E9" s="75"/>
      <c r="F9" s="8"/>
      <c r="G9" s="8"/>
      <c r="H9" s="4" t="e">
        <f t="shared" ref="H9:H18" si="0">100*F9/G9</f>
        <v>#DIV/0!</v>
      </c>
      <c r="I9" s="87"/>
      <c r="J9" s="87"/>
      <c r="K9" s="97"/>
      <c r="M9" s="31">
        <v>2</v>
      </c>
      <c r="N9" s="8"/>
      <c r="O9" s="8"/>
      <c r="P9" s="9"/>
      <c r="Q9" s="111">
        <f>N9-N8</f>
        <v>0</v>
      </c>
    </row>
    <row r="10" spans="1:17">
      <c r="A10" s="30">
        <v>3</v>
      </c>
      <c r="B10" s="8"/>
      <c r="C10" s="8"/>
      <c r="D10" s="75"/>
      <c r="E10" s="75"/>
      <c r="F10" s="8"/>
      <c r="G10" s="8"/>
      <c r="H10" s="4" t="e">
        <f t="shared" si="0"/>
        <v>#DIV/0!</v>
      </c>
      <c r="I10" s="87"/>
      <c r="J10" s="87"/>
      <c r="K10" s="97"/>
      <c r="M10" s="31">
        <v>3</v>
      </c>
      <c r="N10" s="8"/>
      <c r="O10" s="8"/>
      <c r="P10" s="9"/>
      <c r="Q10" s="111">
        <f t="shared" ref="Q10:Q17" si="1">N10-N9</f>
        <v>0</v>
      </c>
    </row>
    <row r="11" spans="1:17">
      <c r="A11" s="30">
        <v>4</v>
      </c>
      <c r="B11" s="8"/>
      <c r="C11" s="8"/>
      <c r="D11" s="75"/>
      <c r="E11" s="75"/>
      <c r="F11" s="8"/>
      <c r="G11" s="8"/>
      <c r="H11" s="4" t="e">
        <f t="shared" si="0"/>
        <v>#DIV/0!</v>
      </c>
      <c r="I11" s="87"/>
      <c r="J11" s="87"/>
      <c r="K11" s="97"/>
      <c r="M11" s="31">
        <v>4</v>
      </c>
      <c r="N11" s="8"/>
      <c r="O11" s="8"/>
      <c r="P11" s="9"/>
      <c r="Q11" s="111">
        <f t="shared" si="1"/>
        <v>0</v>
      </c>
    </row>
    <row r="12" spans="1:17">
      <c r="A12" s="30">
        <v>5</v>
      </c>
      <c r="B12" s="8"/>
      <c r="C12" s="8"/>
      <c r="D12" s="75"/>
      <c r="E12" s="75"/>
      <c r="F12" s="8"/>
      <c r="G12" s="8"/>
      <c r="H12" s="4" t="e">
        <f t="shared" si="0"/>
        <v>#DIV/0!</v>
      </c>
      <c r="I12" s="87"/>
      <c r="J12" s="87"/>
      <c r="K12" s="97"/>
      <c r="M12" s="31">
        <v>5</v>
      </c>
      <c r="N12" s="8"/>
      <c r="O12" s="8"/>
      <c r="P12" s="9"/>
      <c r="Q12" s="111">
        <f t="shared" si="1"/>
        <v>0</v>
      </c>
    </row>
    <row r="13" spans="1:17">
      <c r="A13" s="30">
        <v>6</v>
      </c>
      <c r="B13" s="8"/>
      <c r="C13" s="8"/>
      <c r="D13" s="75"/>
      <c r="E13" s="75"/>
      <c r="F13" s="8"/>
      <c r="G13" s="8"/>
      <c r="H13" s="4" t="e">
        <f t="shared" si="0"/>
        <v>#DIV/0!</v>
      </c>
      <c r="I13" s="87"/>
      <c r="J13" s="87"/>
      <c r="K13" s="97"/>
      <c r="M13" s="31">
        <v>6</v>
      </c>
      <c r="N13" s="8"/>
      <c r="O13" s="8"/>
      <c r="P13" s="9"/>
      <c r="Q13" s="111">
        <f t="shared" si="1"/>
        <v>0</v>
      </c>
    </row>
    <row r="14" spans="1:17">
      <c r="A14" s="30">
        <v>7</v>
      </c>
      <c r="B14" s="8"/>
      <c r="C14" s="8"/>
      <c r="D14" s="75"/>
      <c r="E14" s="75"/>
      <c r="F14" s="8"/>
      <c r="G14" s="8"/>
      <c r="H14" s="4" t="e">
        <f t="shared" si="0"/>
        <v>#DIV/0!</v>
      </c>
      <c r="I14" s="87"/>
      <c r="J14" s="87"/>
      <c r="K14" s="97"/>
      <c r="M14" s="31">
        <v>7</v>
      </c>
      <c r="N14" s="8"/>
      <c r="O14" s="8"/>
      <c r="P14" s="9"/>
      <c r="Q14" s="111">
        <f t="shared" si="1"/>
        <v>0</v>
      </c>
    </row>
    <row r="15" spans="1:17">
      <c r="A15" s="30">
        <v>8</v>
      </c>
      <c r="B15" s="8"/>
      <c r="C15" s="8"/>
      <c r="D15" s="75"/>
      <c r="E15" s="75"/>
      <c r="F15" s="8"/>
      <c r="G15" s="8"/>
      <c r="H15" s="4" t="e">
        <f t="shared" si="0"/>
        <v>#DIV/0!</v>
      </c>
      <c r="I15" s="87"/>
      <c r="J15" s="87"/>
      <c r="K15" s="97"/>
      <c r="M15" s="31">
        <v>8</v>
      </c>
      <c r="N15" s="8"/>
      <c r="O15" s="8"/>
      <c r="P15" s="9"/>
      <c r="Q15" s="111">
        <f t="shared" si="1"/>
        <v>0</v>
      </c>
    </row>
    <row r="16" spans="1:17">
      <c r="A16" s="30">
        <v>9</v>
      </c>
      <c r="B16" s="8"/>
      <c r="C16" s="8"/>
      <c r="D16" s="75"/>
      <c r="E16" s="75"/>
      <c r="F16" s="8"/>
      <c r="G16" s="8"/>
      <c r="H16" s="4" t="e">
        <f t="shared" si="0"/>
        <v>#DIV/0!</v>
      </c>
      <c r="I16" s="87"/>
      <c r="J16" s="87"/>
      <c r="K16" s="97"/>
      <c r="M16" s="31">
        <v>9</v>
      </c>
      <c r="N16" s="8"/>
      <c r="O16" s="8"/>
      <c r="P16" s="9"/>
      <c r="Q16" s="111">
        <f t="shared" si="1"/>
        <v>0</v>
      </c>
    </row>
    <row r="17" spans="1:17">
      <c r="A17" s="30">
        <v>10</v>
      </c>
      <c r="B17" s="8"/>
      <c r="C17" s="8"/>
      <c r="D17" s="75"/>
      <c r="E17" s="75"/>
      <c r="F17" s="8"/>
      <c r="G17" s="8"/>
      <c r="H17" s="4" t="e">
        <f t="shared" si="0"/>
        <v>#DIV/0!</v>
      </c>
      <c r="I17" s="87"/>
      <c r="J17" s="87"/>
      <c r="K17" s="97"/>
      <c r="M17" s="31">
        <v>10</v>
      </c>
      <c r="N17" s="8"/>
      <c r="O17" s="8"/>
      <c r="P17" s="9"/>
      <c r="Q17" s="111">
        <f t="shared" si="1"/>
        <v>0</v>
      </c>
    </row>
    <row r="18" spans="1:17">
      <c r="A18" s="30">
        <v>11</v>
      </c>
      <c r="B18" s="8"/>
      <c r="C18" s="8"/>
      <c r="D18" s="75"/>
      <c r="E18" s="75"/>
      <c r="F18" s="8"/>
      <c r="G18" s="8"/>
      <c r="H18" s="4" t="e">
        <f t="shared" si="0"/>
        <v>#DIV/0!</v>
      </c>
      <c r="I18" s="87"/>
      <c r="J18" s="87"/>
      <c r="K18" s="97"/>
      <c r="M18" s="32" t="s">
        <v>385</v>
      </c>
      <c r="N18" s="136">
        <f>F20</f>
        <v>0</v>
      </c>
      <c r="O18" s="13"/>
      <c r="P18" s="13"/>
      <c r="Q18" s="111">
        <f>N18-MAX(N8:N17)</f>
        <v>0</v>
      </c>
    </row>
    <row r="19" spans="1:17" ht="15.75" thickBot="1">
      <c r="A19" s="33" t="s">
        <v>94</v>
      </c>
      <c r="B19" s="12"/>
      <c r="C19" s="34"/>
      <c r="D19" s="34"/>
      <c r="E19" s="35" t="s">
        <v>79</v>
      </c>
      <c r="F19" s="34">
        <f>SUM(D20:D23)</f>
        <v>0</v>
      </c>
      <c r="G19" s="34"/>
      <c r="H19" s="34"/>
      <c r="I19" s="34"/>
      <c r="J19" s="34"/>
      <c r="K19" s="36"/>
    </row>
    <row r="20" spans="1:17" ht="15.75" thickBot="1">
      <c r="A20" s="37" t="s">
        <v>14</v>
      </c>
      <c r="B20" s="34"/>
      <c r="C20" s="34"/>
      <c r="D20" s="13"/>
      <c r="E20" s="38" t="s">
        <v>78</v>
      </c>
      <c r="F20" s="39">
        <f>SUM(F8:F19)</f>
        <v>0</v>
      </c>
      <c r="G20" s="40" t="s">
        <v>76</v>
      </c>
      <c r="H20" s="41">
        <f>COUNTA(C8:C18)-COUNTIF(C8:C18,"Not Out")</f>
        <v>0</v>
      </c>
      <c r="I20" s="42" t="s">
        <v>77</v>
      </c>
      <c r="J20" s="43"/>
      <c r="K20" s="36"/>
      <c r="M20" s="27" t="s">
        <v>35</v>
      </c>
      <c r="N20" s="6"/>
      <c r="O20" s="6"/>
      <c r="P20" s="7"/>
    </row>
    <row r="21" spans="1:17" ht="15.75" thickBot="1">
      <c r="A21" s="37" t="s">
        <v>15</v>
      </c>
      <c r="B21" s="34"/>
      <c r="C21" s="34"/>
      <c r="D21" s="13"/>
      <c r="E21" s="44"/>
      <c r="F21" s="34"/>
      <c r="G21" s="34"/>
      <c r="H21" s="34"/>
      <c r="I21" s="34"/>
      <c r="J21" s="34"/>
      <c r="K21" s="36"/>
      <c r="M21" s="32" t="s">
        <v>36</v>
      </c>
      <c r="N21" s="10"/>
      <c r="O21" s="10"/>
      <c r="P21" s="11"/>
    </row>
    <row r="22" spans="1:17" ht="15.75" thickBot="1">
      <c r="A22" s="37" t="s">
        <v>16</v>
      </c>
      <c r="B22" s="34"/>
      <c r="C22" s="34"/>
      <c r="D22" s="13"/>
      <c r="E22" s="35" t="s">
        <v>408</v>
      </c>
      <c r="F22" s="135"/>
      <c r="G22" s="34"/>
      <c r="H22" s="34"/>
      <c r="I22" s="34"/>
      <c r="J22" s="34"/>
      <c r="K22" s="36"/>
    </row>
    <row r="23" spans="1:17" ht="15.75" thickBot="1">
      <c r="A23" s="45" t="s">
        <v>17</v>
      </c>
      <c r="B23" s="46"/>
      <c r="C23" s="46"/>
      <c r="D23" s="14"/>
      <c r="E23" s="46"/>
      <c r="F23" s="46"/>
      <c r="G23" s="46"/>
      <c r="H23" s="46"/>
      <c r="I23" s="46"/>
      <c r="J23" s="46"/>
      <c r="K23" s="47"/>
      <c r="M23" s="48" t="s">
        <v>50</v>
      </c>
      <c r="N23" s="49"/>
      <c r="O23" s="49"/>
      <c r="P23" s="50" t="str">
        <f>IF(F20-D22-D23-G37=0,"PASS","FAIL")</f>
        <v>PASS</v>
      </c>
    </row>
    <row r="24" spans="1:17" ht="15.75" thickBot="1"/>
    <row r="25" spans="1:17">
      <c r="D25" s="25" t="s">
        <v>83</v>
      </c>
      <c r="E25" s="51" t="s">
        <v>22</v>
      </c>
      <c r="F25" s="52" t="s">
        <v>23</v>
      </c>
      <c r="G25" s="52" t="s">
        <v>24</v>
      </c>
      <c r="H25" s="52" t="s">
        <v>25</v>
      </c>
      <c r="I25" s="52" t="s">
        <v>26</v>
      </c>
      <c r="J25" s="53" t="s">
        <v>27</v>
      </c>
      <c r="K25" s="26" t="s">
        <v>29</v>
      </c>
      <c r="L25" s="54" t="s">
        <v>30</v>
      </c>
      <c r="M25" s="104" t="s">
        <v>81</v>
      </c>
      <c r="N25" s="105" t="s">
        <v>80</v>
      </c>
      <c r="P25" s="110" t="s">
        <v>386</v>
      </c>
    </row>
    <row r="26" spans="1:17">
      <c r="B26" s="55" t="s">
        <v>31</v>
      </c>
      <c r="D26" s="77"/>
      <c r="E26" s="78"/>
      <c r="F26" s="79"/>
      <c r="G26" s="79"/>
      <c r="H26" s="79"/>
      <c r="I26" s="80"/>
      <c r="J26" s="81"/>
      <c r="K26" s="34" t="e">
        <f>G26/H26</f>
        <v>#DIV/0!</v>
      </c>
      <c r="L26" s="36" t="e">
        <f>G26/E26</f>
        <v>#DIV/0!</v>
      </c>
      <c r="M26" s="106"/>
      <c r="N26" s="107"/>
      <c r="P26" s="111" t="e">
        <f>100*(F20+'2nd Innings'!F20)/((IF(H20="10",210,(E37*6))+(IF('2nd Innings'!H20="10",210,('2nd Innings'!E37*6)))))</f>
        <v>#DIV/0!</v>
      </c>
    </row>
    <row r="27" spans="1:17">
      <c r="B27" s="15"/>
      <c r="D27" s="77"/>
      <c r="E27" s="78"/>
      <c r="F27" s="79"/>
      <c r="G27" s="79"/>
      <c r="H27" s="79"/>
      <c r="I27" s="80"/>
      <c r="J27" s="81"/>
      <c r="K27" s="34" t="e">
        <f t="shared" ref="K27:K36" si="2">G27/H27</f>
        <v>#DIV/0!</v>
      </c>
      <c r="L27" s="36" t="e">
        <f t="shared" ref="L27:L36" si="3">G27/E27</f>
        <v>#DIV/0!</v>
      </c>
      <c r="M27" s="106"/>
      <c r="N27" s="107"/>
      <c r="P27" s="111"/>
    </row>
    <row r="28" spans="1:17">
      <c r="B28" s="16"/>
      <c r="D28" s="77"/>
      <c r="E28" s="78"/>
      <c r="F28" s="79"/>
      <c r="G28" s="79"/>
      <c r="H28" s="79"/>
      <c r="I28" s="80"/>
      <c r="J28" s="81"/>
      <c r="K28" s="34" t="e">
        <f t="shared" si="2"/>
        <v>#DIV/0!</v>
      </c>
      <c r="L28" s="36" t="e">
        <f t="shared" si="3"/>
        <v>#DIV/0!</v>
      </c>
      <c r="M28" s="106"/>
      <c r="N28" s="107"/>
      <c r="P28" s="111" t="s">
        <v>387</v>
      </c>
    </row>
    <row r="29" spans="1:17">
      <c r="D29" s="77"/>
      <c r="E29" s="78"/>
      <c r="F29" s="79"/>
      <c r="G29" s="79"/>
      <c r="H29" s="79"/>
      <c r="I29" s="80"/>
      <c r="J29" s="81"/>
      <c r="K29" s="34" t="e">
        <f t="shared" si="2"/>
        <v>#DIV/0!</v>
      </c>
      <c r="L29" s="36" t="e">
        <f t="shared" si="3"/>
        <v>#DIV/0!</v>
      </c>
      <c r="M29" s="106"/>
      <c r="N29" s="107"/>
      <c r="P29" s="111">
        <f>(F20+'2nd Innings'!F20)</f>
        <v>0</v>
      </c>
    </row>
    <row r="30" spans="1:17">
      <c r="B30" s="55" t="s">
        <v>32</v>
      </c>
      <c r="D30" s="77"/>
      <c r="E30" s="78"/>
      <c r="F30" s="79"/>
      <c r="G30" s="79"/>
      <c r="H30" s="79"/>
      <c r="I30" s="80"/>
      <c r="J30" s="81"/>
      <c r="K30" s="34" t="e">
        <f t="shared" si="2"/>
        <v>#DIV/0!</v>
      </c>
      <c r="L30" s="36" t="e">
        <f t="shared" si="3"/>
        <v>#DIV/0!</v>
      </c>
      <c r="M30" s="106"/>
      <c r="N30" s="107"/>
      <c r="P30" s="111"/>
    </row>
    <row r="31" spans="1:17">
      <c r="B31" s="148"/>
      <c r="D31" s="77"/>
      <c r="E31" s="78"/>
      <c r="F31" s="79"/>
      <c r="G31" s="79"/>
      <c r="H31" s="79"/>
      <c r="I31" s="80"/>
      <c r="J31" s="81"/>
      <c r="K31" s="34" t="e">
        <f t="shared" si="2"/>
        <v>#DIV/0!</v>
      </c>
      <c r="L31" s="36" t="e">
        <f t="shared" si="3"/>
        <v>#DIV/0!</v>
      </c>
      <c r="M31" s="106"/>
      <c r="N31" s="107"/>
      <c r="P31" s="111" t="s">
        <v>398</v>
      </c>
    </row>
    <row r="32" spans="1:17">
      <c r="B32" s="149"/>
      <c r="D32" s="77"/>
      <c r="E32" s="78"/>
      <c r="F32" s="79"/>
      <c r="G32" s="79"/>
      <c r="H32" s="79"/>
      <c r="I32" s="80"/>
      <c r="J32" s="81"/>
      <c r="K32" s="34" t="e">
        <f t="shared" si="2"/>
        <v>#DIV/0!</v>
      </c>
      <c r="L32" s="36" t="e">
        <f t="shared" si="3"/>
        <v>#DIV/0!</v>
      </c>
      <c r="M32" s="106"/>
      <c r="N32" s="107"/>
      <c r="P32" s="111" t="e">
        <f>P26*6/100</f>
        <v>#DIV/0!</v>
      </c>
    </row>
    <row r="33" spans="1:14">
      <c r="D33" s="77"/>
      <c r="E33" s="78"/>
      <c r="F33" s="79"/>
      <c r="G33" s="79"/>
      <c r="H33" s="79"/>
      <c r="I33" s="80"/>
      <c r="J33" s="81"/>
      <c r="K33" s="34" t="e">
        <f t="shared" si="2"/>
        <v>#DIV/0!</v>
      </c>
      <c r="L33" s="36" t="e">
        <f t="shared" si="3"/>
        <v>#DIV/0!</v>
      </c>
      <c r="M33" s="106"/>
      <c r="N33" s="107"/>
    </row>
    <row r="34" spans="1:14">
      <c r="B34" s="27" t="s">
        <v>33</v>
      </c>
      <c r="C34" s="74"/>
      <c r="D34" s="77"/>
      <c r="E34" s="78"/>
      <c r="F34" s="79"/>
      <c r="G34" s="79"/>
      <c r="H34" s="79"/>
      <c r="I34" s="80"/>
      <c r="J34" s="81"/>
      <c r="K34" s="34" t="e">
        <f t="shared" si="2"/>
        <v>#DIV/0!</v>
      </c>
      <c r="L34" s="36" t="e">
        <f t="shared" si="3"/>
        <v>#DIV/0!</v>
      </c>
      <c r="M34" s="106"/>
      <c r="N34" s="107"/>
    </row>
    <row r="35" spans="1:14">
      <c r="B35" s="32" t="s">
        <v>82</v>
      </c>
      <c r="C35" s="76"/>
      <c r="D35" s="77"/>
      <c r="E35" s="78"/>
      <c r="F35" s="79"/>
      <c r="G35" s="79"/>
      <c r="H35" s="79"/>
      <c r="I35" s="80"/>
      <c r="J35" s="81"/>
      <c r="K35" s="34" t="e">
        <f t="shared" si="2"/>
        <v>#DIV/0!</v>
      </c>
      <c r="L35" s="36" t="e">
        <f t="shared" si="3"/>
        <v>#DIV/0!</v>
      </c>
      <c r="M35" s="106"/>
      <c r="N35" s="107"/>
    </row>
    <row r="36" spans="1:14" ht="15.75" thickBot="1">
      <c r="D36" s="82"/>
      <c r="E36" s="83"/>
      <c r="F36" s="84"/>
      <c r="G36" s="84"/>
      <c r="H36" s="84"/>
      <c r="I36" s="85"/>
      <c r="J36" s="86"/>
      <c r="K36" s="46" t="e">
        <f t="shared" si="2"/>
        <v>#DIV/0!</v>
      </c>
      <c r="L36" s="47" t="e">
        <f t="shared" si="3"/>
        <v>#DIV/0!</v>
      </c>
      <c r="M36" s="108"/>
      <c r="N36" s="109"/>
    </row>
    <row r="37" spans="1:14">
      <c r="D37" s="23" t="s">
        <v>49</v>
      </c>
      <c r="E37" s="23">
        <f t="shared" ref="E37:J37" si="4">SUM(E26:E36)</f>
        <v>0</v>
      </c>
      <c r="F37" s="90">
        <f t="shared" si="4"/>
        <v>0</v>
      </c>
      <c r="G37" s="90">
        <f t="shared" si="4"/>
        <v>0</v>
      </c>
      <c r="H37" s="90">
        <f t="shared" si="4"/>
        <v>0</v>
      </c>
      <c r="I37" s="56">
        <f t="shared" si="4"/>
        <v>0</v>
      </c>
      <c r="J37" s="57">
        <f t="shared" si="4"/>
        <v>0</v>
      </c>
    </row>
    <row r="38" spans="1:14" ht="17.25" customHeight="1"/>
    <row r="39" spans="1:14">
      <c r="A39" s="91" t="s">
        <v>37</v>
      </c>
      <c r="B39" s="91" t="s">
        <v>1</v>
      </c>
      <c r="C39" s="91" t="s">
        <v>56</v>
      </c>
      <c r="D39" s="91" t="s">
        <v>388</v>
      </c>
    </row>
    <row r="40" spans="1:14">
      <c r="A40" s="92" t="s">
        <v>38</v>
      </c>
      <c r="B40" s="92" t="s">
        <v>55</v>
      </c>
      <c r="C40" s="92" t="s">
        <v>57</v>
      </c>
      <c r="D40" s="91">
        <v>420</v>
      </c>
    </row>
    <row r="41" spans="1:14">
      <c r="A41" s="91" t="s">
        <v>39</v>
      </c>
      <c r="B41" s="91" t="s">
        <v>51</v>
      </c>
      <c r="C41" s="91" t="s">
        <v>58</v>
      </c>
      <c r="D41" s="91">
        <v>240</v>
      </c>
    </row>
    <row r="42" spans="1:14">
      <c r="A42" s="91" t="s">
        <v>40</v>
      </c>
      <c r="B42" s="91"/>
      <c r="C42" s="91" t="s">
        <v>59</v>
      </c>
      <c r="D42" s="91"/>
    </row>
    <row r="43" spans="1:14">
      <c r="A43" s="91" t="s">
        <v>41</v>
      </c>
      <c r="B43" s="91"/>
      <c r="C43" s="91"/>
      <c r="D43" s="91"/>
    </row>
    <row r="44" spans="1:14">
      <c r="A44" s="91" t="s">
        <v>42</v>
      </c>
      <c r="B44" s="91" t="s">
        <v>60</v>
      </c>
      <c r="C44" s="93" t="s">
        <v>8</v>
      </c>
      <c r="D44" s="94" t="s">
        <v>408</v>
      </c>
    </row>
    <row r="45" spans="1:14">
      <c r="A45" s="91" t="s">
        <v>43</v>
      </c>
      <c r="B45" s="92" t="s">
        <v>61</v>
      </c>
      <c r="C45" s="94" t="s">
        <v>21</v>
      </c>
      <c r="D45" s="94" t="s">
        <v>25</v>
      </c>
    </row>
    <row r="46" spans="1:14">
      <c r="A46" s="91" t="s">
        <v>89</v>
      </c>
      <c r="B46" s="91" t="s">
        <v>44</v>
      </c>
      <c r="C46" s="94" t="s">
        <v>52</v>
      </c>
      <c r="D46" s="94" t="s">
        <v>407</v>
      </c>
    </row>
    <row r="47" spans="1:14">
      <c r="A47" s="91" t="s">
        <v>44</v>
      </c>
      <c r="B47" s="91" t="s">
        <v>62</v>
      </c>
      <c r="C47" s="91" t="s">
        <v>68</v>
      </c>
      <c r="D47" s="94" t="s">
        <v>409</v>
      </c>
    </row>
    <row r="48" spans="1:14">
      <c r="A48" s="91" t="s">
        <v>495</v>
      </c>
      <c r="B48" s="91" t="s">
        <v>63</v>
      </c>
      <c r="C48" s="91" t="s">
        <v>69</v>
      </c>
      <c r="D48" s="94" t="s">
        <v>410</v>
      </c>
    </row>
    <row r="49" spans="1:69">
      <c r="A49" s="91" t="s">
        <v>45</v>
      </c>
      <c r="B49" s="91" t="s">
        <v>64</v>
      </c>
      <c r="C49" s="91" t="s">
        <v>53</v>
      </c>
      <c r="D49" s="91"/>
    </row>
    <row r="50" spans="1:69">
      <c r="A50" s="91" t="s">
        <v>91</v>
      </c>
      <c r="B50" s="91" t="s">
        <v>65</v>
      </c>
      <c r="C50" s="91" t="s">
        <v>70</v>
      </c>
      <c r="D50" s="91"/>
    </row>
    <row r="51" spans="1:69">
      <c r="A51" s="91" t="s">
        <v>413</v>
      </c>
      <c r="B51" s="91"/>
      <c r="C51" s="91" t="s">
        <v>71</v>
      </c>
      <c r="D51" s="91"/>
    </row>
    <row r="52" spans="1:69">
      <c r="A52" s="91" t="s">
        <v>93</v>
      </c>
      <c r="B52" s="91"/>
      <c r="C52" s="91" t="s">
        <v>72</v>
      </c>
      <c r="D52" s="91"/>
    </row>
    <row r="53" spans="1:69">
      <c r="A53" s="91" t="s">
        <v>46</v>
      </c>
      <c r="B53" s="91"/>
      <c r="C53" s="91" t="s">
        <v>73</v>
      </c>
      <c r="D53" s="91"/>
    </row>
    <row r="54" spans="1:69">
      <c r="A54" s="91" t="s">
        <v>47</v>
      </c>
      <c r="B54" s="91"/>
      <c r="C54" s="91"/>
      <c r="D54" s="91"/>
    </row>
    <row r="55" spans="1:69">
      <c r="A55" s="91" t="s">
        <v>48</v>
      </c>
      <c r="B55" s="91"/>
      <c r="C55" s="91"/>
      <c r="D55" s="91"/>
    </row>
    <row r="57" spans="1:69">
      <c r="A57" s="58" t="s">
        <v>38</v>
      </c>
      <c r="B57" s="58" t="s">
        <v>39</v>
      </c>
      <c r="C57" s="58" t="s">
        <v>40</v>
      </c>
      <c r="D57" s="58" t="s">
        <v>41</v>
      </c>
      <c r="E57" s="58" t="s">
        <v>42</v>
      </c>
      <c r="F57" s="165" t="s">
        <v>43</v>
      </c>
      <c r="G57" s="165" t="s">
        <v>89</v>
      </c>
      <c r="H57" s="58" t="s">
        <v>44</v>
      </c>
      <c r="I57" s="165" t="s">
        <v>495</v>
      </c>
      <c r="J57" s="165" t="s">
        <v>45</v>
      </c>
      <c r="K57" s="165" t="s">
        <v>91</v>
      </c>
      <c r="L57" s="165" t="s">
        <v>413</v>
      </c>
      <c r="M57" s="165" t="s">
        <v>93</v>
      </c>
      <c r="N57" s="58" t="s">
        <v>46</v>
      </c>
      <c r="O57" s="165" t="s">
        <v>47</v>
      </c>
      <c r="P57" s="165" t="s">
        <v>48</v>
      </c>
    </row>
    <row r="58" spans="1:69">
      <c r="A58" s="18" t="s">
        <v>95</v>
      </c>
      <c r="B58" s="167" t="s">
        <v>96</v>
      </c>
      <c r="C58" s="167" t="s">
        <v>97</v>
      </c>
      <c r="D58" s="167" t="s">
        <v>98</v>
      </c>
      <c r="E58" s="167" t="s">
        <v>99</v>
      </c>
      <c r="F58" s="168" t="s">
        <v>572</v>
      </c>
      <c r="G58" s="168" t="s">
        <v>429</v>
      </c>
      <c r="H58" s="167" t="s">
        <v>100</v>
      </c>
      <c r="I58" s="168" t="s">
        <v>564</v>
      </c>
      <c r="J58" s="168" t="s">
        <v>478</v>
      </c>
      <c r="K58" s="168" t="s">
        <v>566</v>
      </c>
      <c r="L58" s="168" t="s">
        <v>499</v>
      </c>
      <c r="M58" s="168" t="s">
        <v>605</v>
      </c>
      <c r="N58" s="167" t="s">
        <v>101</v>
      </c>
      <c r="O58" s="168" t="s">
        <v>473</v>
      </c>
      <c r="P58" s="168" t="s">
        <v>436</v>
      </c>
      <c r="Q58" s="58"/>
      <c r="S58" s="3"/>
      <c r="T58" s="3"/>
      <c r="U58" s="60"/>
      <c r="V58" s="60"/>
      <c r="W58" s="60"/>
      <c r="X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</row>
    <row r="59" spans="1:69">
      <c r="A59" s="18" t="s">
        <v>102</v>
      </c>
      <c r="B59" s="167" t="s">
        <v>84</v>
      </c>
      <c r="C59" s="167" t="s">
        <v>103</v>
      </c>
      <c r="D59" s="167" t="s">
        <v>104</v>
      </c>
      <c r="E59" s="167" t="s">
        <v>105</v>
      </c>
      <c r="F59" s="168" t="s">
        <v>571</v>
      </c>
      <c r="G59" s="168" t="s">
        <v>430</v>
      </c>
      <c r="H59" s="167" t="s">
        <v>106</v>
      </c>
      <c r="I59" s="168" t="s">
        <v>538</v>
      </c>
      <c r="J59" s="168" t="s">
        <v>489</v>
      </c>
      <c r="K59" s="168" t="s">
        <v>565</v>
      </c>
      <c r="L59" s="168" t="s">
        <v>502</v>
      </c>
      <c r="M59" s="168" t="s">
        <v>603</v>
      </c>
      <c r="N59" s="167" t="s">
        <v>107</v>
      </c>
      <c r="O59" s="168" t="s">
        <v>472</v>
      </c>
      <c r="P59" s="168" t="s">
        <v>440</v>
      </c>
      <c r="Q59" s="58"/>
      <c r="S59" s="3"/>
      <c r="T59" s="3"/>
      <c r="U59" s="60"/>
      <c r="V59" s="3"/>
      <c r="W59" s="60"/>
      <c r="X59" s="60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69">
      <c r="A60" s="18" t="s">
        <v>108</v>
      </c>
      <c r="B60" s="167" t="s">
        <v>109</v>
      </c>
      <c r="C60" s="167" t="s">
        <v>110</v>
      </c>
      <c r="D60" s="167" t="s">
        <v>111</v>
      </c>
      <c r="E60" s="167" t="s">
        <v>112</v>
      </c>
      <c r="F60" s="168" t="s">
        <v>573</v>
      </c>
      <c r="G60" s="168" t="s">
        <v>418</v>
      </c>
      <c r="H60" s="167" t="s">
        <v>113</v>
      </c>
      <c r="I60" s="168" t="s">
        <v>540</v>
      </c>
      <c r="J60" s="168" t="s">
        <v>602</v>
      </c>
      <c r="K60" s="168" t="s">
        <v>509</v>
      </c>
      <c r="L60" s="168" t="s">
        <v>505</v>
      </c>
      <c r="M60" s="168" t="s">
        <v>606</v>
      </c>
      <c r="N60" s="167" t="s">
        <v>95</v>
      </c>
      <c r="O60" s="168" t="s">
        <v>474</v>
      </c>
      <c r="P60" s="168" t="s">
        <v>452</v>
      </c>
      <c r="Q60" s="58"/>
      <c r="S60" s="3"/>
      <c r="T60" s="3"/>
      <c r="U60" s="60"/>
      <c r="V60" s="60"/>
      <c r="W60" s="60"/>
      <c r="X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69">
      <c r="A61" s="18" t="s">
        <v>114</v>
      </c>
      <c r="B61" s="167" t="s">
        <v>115</v>
      </c>
      <c r="C61" s="167" t="s">
        <v>116</v>
      </c>
      <c r="D61" s="167" t="s">
        <v>117</v>
      </c>
      <c r="E61" s="167" t="s">
        <v>118</v>
      </c>
      <c r="F61" s="168" t="s">
        <v>574</v>
      </c>
      <c r="G61" s="168" t="s">
        <v>417</v>
      </c>
      <c r="H61" s="167" t="s">
        <v>120</v>
      </c>
      <c r="I61" s="169" t="s">
        <v>539</v>
      </c>
      <c r="J61" s="168" t="s">
        <v>479</v>
      </c>
      <c r="K61" s="168" t="s">
        <v>510</v>
      </c>
      <c r="L61" s="168" t="s">
        <v>598</v>
      </c>
      <c r="M61" s="168" t="s">
        <v>607</v>
      </c>
      <c r="N61" s="167" t="s">
        <v>122</v>
      </c>
      <c r="O61" s="168" t="s">
        <v>459</v>
      </c>
      <c r="P61" s="168" t="s">
        <v>455</v>
      </c>
      <c r="Q61" s="58"/>
      <c r="S61" s="3"/>
      <c r="T61" s="3"/>
      <c r="U61" s="60"/>
      <c r="V61" s="60"/>
      <c r="W61" s="60"/>
      <c r="X61" s="60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69">
      <c r="A62" s="18" t="s">
        <v>123</v>
      </c>
      <c r="B62" s="167" t="s">
        <v>124</v>
      </c>
      <c r="C62" s="167" t="s">
        <v>125</v>
      </c>
      <c r="D62" s="167" t="s">
        <v>126</v>
      </c>
      <c r="E62" s="167" t="s">
        <v>127</v>
      </c>
      <c r="F62" s="168" t="s">
        <v>575</v>
      </c>
      <c r="G62" s="168" t="s">
        <v>427</v>
      </c>
      <c r="H62" s="167" t="s">
        <v>128</v>
      </c>
      <c r="I62" s="169" t="s">
        <v>541</v>
      </c>
      <c r="J62" s="168" t="s">
        <v>480</v>
      </c>
      <c r="K62" s="168" t="s">
        <v>511</v>
      </c>
      <c r="L62" s="168" t="s">
        <v>504</v>
      </c>
      <c r="M62" s="168" t="s">
        <v>608</v>
      </c>
      <c r="N62" s="167" t="s">
        <v>129</v>
      </c>
      <c r="O62" s="168" t="s">
        <v>471</v>
      </c>
      <c r="P62" s="168" t="s">
        <v>434</v>
      </c>
      <c r="Q62" s="58"/>
      <c r="S62" s="3"/>
      <c r="T62" s="3"/>
      <c r="U62" s="60"/>
      <c r="V62" s="3"/>
      <c r="W62" s="60"/>
      <c r="X62" s="60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69">
      <c r="A63" s="18" t="s">
        <v>119</v>
      </c>
      <c r="B63" s="167" t="s">
        <v>85</v>
      </c>
      <c r="C63" s="167" t="s">
        <v>130</v>
      </c>
      <c r="D63" s="167" t="s">
        <v>131</v>
      </c>
      <c r="E63" s="167" t="s">
        <v>132</v>
      </c>
      <c r="F63" s="168" t="s">
        <v>570</v>
      </c>
      <c r="G63" s="168" t="s">
        <v>419</v>
      </c>
      <c r="H63" s="167" t="s">
        <v>133</v>
      </c>
      <c r="I63" s="168" t="s">
        <v>542</v>
      </c>
      <c r="J63" s="168" t="s">
        <v>481</v>
      </c>
      <c r="K63" s="168" t="s">
        <v>512</v>
      </c>
      <c r="L63" s="168" t="s">
        <v>594</v>
      </c>
      <c r="M63" s="168" t="s">
        <v>609</v>
      </c>
      <c r="N63" s="167" t="s">
        <v>134</v>
      </c>
      <c r="O63" s="168" t="s">
        <v>466</v>
      </c>
      <c r="P63" s="168" t="s">
        <v>435</v>
      </c>
      <c r="Q63" s="58"/>
      <c r="S63" s="3"/>
      <c r="T63" s="3"/>
      <c r="U63" s="60"/>
      <c r="V63" s="3"/>
      <c r="W63" s="60"/>
      <c r="X63" s="60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69">
      <c r="A64" s="18" t="s">
        <v>135</v>
      </c>
      <c r="B64" s="167" t="s">
        <v>136</v>
      </c>
      <c r="C64" s="167" t="s">
        <v>137</v>
      </c>
      <c r="D64" s="167" t="s">
        <v>54</v>
      </c>
      <c r="E64" s="167" t="s">
        <v>121</v>
      </c>
      <c r="F64" s="168" t="s">
        <v>576</v>
      </c>
      <c r="G64" s="168" t="s">
        <v>416</v>
      </c>
      <c r="H64" s="167" t="s">
        <v>138</v>
      </c>
      <c r="I64" s="168" t="s">
        <v>543</v>
      </c>
      <c r="J64" s="168" t="s">
        <v>482</v>
      </c>
      <c r="K64" s="168" t="s">
        <v>513</v>
      </c>
      <c r="L64" s="168" t="s">
        <v>498</v>
      </c>
      <c r="M64" s="168" t="s">
        <v>610</v>
      </c>
      <c r="N64" s="167" t="s">
        <v>139</v>
      </c>
      <c r="O64" s="168" t="s">
        <v>469</v>
      </c>
      <c r="P64" s="168" t="s">
        <v>448</v>
      </c>
      <c r="Q64" s="58"/>
      <c r="S64" s="3"/>
      <c r="T64" s="3"/>
      <c r="U64" s="60"/>
      <c r="V64" s="3"/>
      <c r="W64" s="60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62">
      <c r="A65" s="18" t="s">
        <v>140</v>
      </c>
      <c r="B65" s="167" t="s">
        <v>141</v>
      </c>
      <c r="C65" s="167" t="s">
        <v>142</v>
      </c>
      <c r="D65" s="167" t="s">
        <v>143</v>
      </c>
      <c r="E65" s="167" t="s">
        <v>144</v>
      </c>
      <c r="F65" s="168" t="s">
        <v>577</v>
      </c>
      <c r="G65" s="168" t="s">
        <v>420</v>
      </c>
      <c r="H65" s="167" t="s">
        <v>145</v>
      </c>
      <c r="I65" s="168" t="s">
        <v>544</v>
      </c>
      <c r="J65" s="168" t="s">
        <v>477</v>
      </c>
      <c r="K65" s="168" t="s">
        <v>514</v>
      </c>
      <c r="L65" s="168" t="s">
        <v>599</v>
      </c>
      <c r="M65" s="168" t="s">
        <v>611</v>
      </c>
      <c r="N65" s="167" t="s">
        <v>146</v>
      </c>
      <c r="O65" s="168" t="s">
        <v>461</v>
      </c>
      <c r="P65" s="168" t="s">
        <v>443</v>
      </c>
      <c r="Q65" s="58"/>
      <c r="S65" s="3"/>
      <c r="T65" s="3"/>
      <c r="U65" s="60"/>
      <c r="V65" s="3"/>
      <c r="W65" s="60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62">
      <c r="A66" s="18" t="s">
        <v>147</v>
      </c>
      <c r="B66" s="167" t="s">
        <v>148</v>
      </c>
      <c r="C66" s="167" t="s">
        <v>149</v>
      </c>
      <c r="D66" s="167" t="s">
        <v>150</v>
      </c>
      <c r="E66" s="167" t="s">
        <v>151</v>
      </c>
      <c r="F66" s="168" t="s">
        <v>578</v>
      </c>
      <c r="G66" s="168" t="s">
        <v>422</v>
      </c>
      <c r="H66" s="167" t="s">
        <v>152</v>
      </c>
      <c r="I66" s="168" t="s">
        <v>545</v>
      </c>
      <c r="J66" s="168" t="s">
        <v>494</v>
      </c>
      <c r="K66" s="168" t="s">
        <v>515</v>
      </c>
      <c r="L66" s="168" t="s">
        <v>600</v>
      </c>
      <c r="M66" s="168" t="s">
        <v>612</v>
      </c>
      <c r="N66" s="167" t="s">
        <v>153</v>
      </c>
      <c r="O66" s="168" t="s">
        <v>458</v>
      </c>
      <c r="P66" s="168" t="s">
        <v>453</v>
      </c>
      <c r="Q66" s="58"/>
      <c r="S66" s="3"/>
      <c r="T66" s="3"/>
      <c r="U66" s="60"/>
      <c r="V66" s="3"/>
      <c r="W66" s="60"/>
      <c r="X66" s="60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62">
      <c r="A67" s="18" t="s">
        <v>87</v>
      </c>
      <c r="B67" s="167" t="s">
        <v>154</v>
      </c>
      <c r="C67" s="167" t="s">
        <v>155</v>
      </c>
      <c r="D67" s="167" t="s">
        <v>156</v>
      </c>
      <c r="E67" s="167" t="s">
        <v>157</v>
      </c>
      <c r="F67" s="168" t="s">
        <v>579</v>
      </c>
      <c r="G67" s="168" t="s">
        <v>431</v>
      </c>
      <c r="H67" s="167" t="s">
        <v>158</v>
      </c>
      <c r="I67" s="169" t="s">
        <v>546</v>
      </c>
      <c r="J67" s="168" t="s">
        <v>483</v>
      </c>
      <c r="K67" s="168" t="s">
        <v>516</v>
      </c>
      <c r="L67" s="168" t="s">
        <v>595</v>
      </c>
      <c r="M67" s="168" t="s">
        <v>613</v>
      </c>
      <c r="N67" s="167" t="s">
        <v>159</v>
      </c>
      <c r="O67" s="168" t="s">
        <v>462</v>
      </c>
      <c r="P67" s="168" t="s">
        <v>454</v>
      </c>
      <c r="Q67" s="58"/>
      <c r="S67" s="3"/>
      <c r="T67" s="3"/>
      <c r="U67" s="60"/>
      <c r="V67" s="3"/>
      <c r="W67" s="60"/>
      <c r="X67" s="60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62">
      <c r="A68" s="18" t="s">
        <v>134</v>
      </c>
      <c r="B68" s="167" t="s">
        <v>160</v>
      </c>
      <c r="C68" s="167" t="s">
        <v>161</v>
      </c>
      <c r="D68" s="167" t="s">
        <v>162</v>
      </c>
      <c r="E68" s="167" t="s">
        <v>163</v>
      </c>
      <c r="F68" s="168" t="s">
        <v>580</v>
      </c>
      <c r="G68" s="168" t="s">
        <v>421</v>
      </c>
      <c r="H68" s="167" t="s">
        <v>164</v>
      </c>
      <c r="I68" s="168" t="s">
        <v>547</v>
      </c>
      <c r="J68" s="168" t="s">
        <v>486</v>
      </c>
      <c r="K68" s="168" t="s">
        <v>517</v>
      </c>
      <c r="L68" s="168" t="s">
        <v>506</v>
      </c>
      <c r="M68" s="168" t="s">
        <v>614</v>
      </c>
      <c r="N68" s="167" t="s">
        <v>165</v>
      </c>
      <c r="O68" s="168" t="s">
        <v>460</v>
      </c>
      <c r="P68" s="168" t="s">
        <v>442</v>
      </c>
      <c r="Q68" s="58"/>
      <c r="S68" s="3"/>
      <c r="T68" s="3"/>
      <c r="U68" s="60"/>
      <c r="V68" s="3"/>
      <c r="W68" s="60"/>
      <c r="X68" s="60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62">
      <c r="A69" s="18" t="s">
        <v>166</v>
      </c>
      <c r="B69" s="167" t="s">
        <v>167</v>
      </c>
      <c r="C69" s="167" t="s">
        <v>168</v>
      </c>
      <c r="D69" s="167" t="s">
        <v>169</v>
      </c>
      <c r="E69" s="167" t="s">
        <v>170</v>
      </c>
      <c r="F69" s="168" t="s">
        <v>581</v>
      </c>
      <c r="G69" s="168" t="s">
        <v>432</v>
      </c>
      <c r="H69" s="167" t="s">
        <v>171</v>
      </c>
      <c r="I69" s="168" t="s">
        <v>548</v>
      </c>
      <c r="J69" s="168" t="s">
        <v>485</v>
      </c>
      <c r="K69" s="168" t="s">
        <v>518</v>
      </c>
      <c r="L69" s="168" t="s">
        <v>501</v>
      </c>
      <c r="M69" s="168" t="s">
        <v>604</v>
      </c>
      <c r="N69" s="167" t="s">
        <v>173</v>
      </c>
      <c r="O69" s="168" t="s">
        <v>463</v>
      </c>
      <c r="P69" s="168" t="s">
        <v>447</v>
      </c>
      <c r="Q69" s="58"/>
      <c r="S69" s="3"/>
      <c r="T69" s="3"/>
      <c r="U69" s="60"/>
      <c r="V69" s="3"/>
      <c r="W69" s="60"/>
      <c r="X69" s="60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62">
      <c r="A70" s="18" t="s">
        <v>174</v>
      </c>
      <c r="B70" s="167" t="s">
        <v>175</v>
      </c>
      <c r="C70" s="167" t="s">
        <v>176</v>
      </c>
      <c r="D70" s="167" t="s">
        <v>177</v>
      </c>
      <c r="E70" s="167" t="s">
        <v>178</v>
      </c>
      <c r="F70" s="168" t="s">
        <v>582</v>
      </c>
      <c r="G70" s="168" t="s">
        <v>423</v>
      </c>
      <c r="H70" s="167" t="s">
        <v>179</v>
      </c>
      <c r="I70" s="168" t="s">
        <v>549</v>
      </c>
      <c r="J70" s="168" t="s">
        <v>488</v>
      </c>
      <c r="K70" s="168" t="s">
        <v>519</v>
      </c>
      <c r="L70" s="168" t="s">
        <v>496</v>
      </c>
      <c r="M70" s="168" t="s">
        <v>615</v>
      </c>
      <c r="N70" s="167" t="s">
        <v>180</v>
      </c>
      <c r="O70" s="168" t="s">
        <v>475</v>
      </c>
      <c r="P70" s="168" t="s">
        <v>446</v>
      </c>
      <c r="Q70" s="58"/>
      <c r="S70" s="3"/>
      <c r="T70" s="3"/>
      <c r="U70" s="60"/>
      <c r="V70" s="3"/>
      <c r="W70" s="60"/>
      <c r="X70" s="60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62">
      <c r="A71" s="18" t="s">
        <v>181</v>
      </c>
      <c r="B71" s="167" t="s">
        <v>182</v>
      </c>
      <c r="C71" s="167" t="s">
        <v>183</v>
      </c>
      <c r="D71" s="167" t="s">
        <v>184</v>
      </c>
      <c r="E71" s="167" t="s">
        <v>185</v>
      </c>
      <c r="F71" s="168" t="s">
        <v>583</v>
      </c>
      <c r="G71" s="168" t="s">
        <v>424</v>
      </c>
      <c r="H71" s="167" t="s">
        <v>186</v>
      </c>
      <c r="I71" s="169" t="s">
        <v>550</v>
      </c>
      <c r="J71" s="168" t="s">
        <v>487</v>
      </c>
      <c r="K71" s="168" t="s">
        <v>520</v>
      </c>
      <c r="L71" s="169" t="s">
        <v>596</v>
      </c>
      <c r="M71" s="168" t="s">
        <v>616</v>
      </c>
      <c r="N71" s="167" t="s">
        <v>188</v>
      </c>
      <c r="O71" s="167" t="s">
        <v>568</v>
      </c>
      <c r="P71" s="168" t="s">
        <v>444</v>
      </c>
      <c r="Q71" s="58"/>
      <c r="S71" s="3"/>
      <c r="T71" s="3"/>
      <c r="U71" s="60"/>
      <c r="V71" s="3"/>
      <c r="W71" s="60"/>
      <c r="X71" s="60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62">
      <c r="A72" s="18" t="s">
        <v>189</v>
      </c>
      <c r="B72" s="167" t="s">
        <v>190</v>
      </c>
      <c r="C72" s="167" t="s">
        <v>191</v>
      </c>
      <c r="D72" s="167" t="s">
        <v>192</v>
      </c>
      <c r="E72" s="167" t="s">
        <v>193</v>
      </c>
      <c r="F72" s="168" t="s">
        <v>584</v>
      </c>
      <c r="G72" s="168" t="s">
        <v>425</v>
      </c>
      <c r="H72" s="167" t="s">
        <v>172</v>
      </c>
      <c r="I72" s="168" t="s">
        <v>551</v>
      </c>
      <c r="J72" s="168" t="s">
        <v>476</v>
      </c>
      <c r="K72" s="168" t="s">
        <v>521</v>
      </c>
      <c r="L72" s="168" t="s">
        <v>597</v>
      </c>
      <c r="M72" s="168" t="s">
        <v>617</v>
      </c>
      <c r="N72" s="167" t="s">
        <v>194</v>
      </c>
      <c r="O72" s="168" t="s">
        <v>465</v>
      </c>
      <c r="P72" s="168" t="s">
        <v>445</v>
      </c>
      <c r="Q72" s="58"/>
      <c r="S72" s="3"/>
      <c r="T72" s="3"/>
      <c r="U72" s="60"/>
      <c r="V72" s="3"/>
      <c r="W72" s="60"/>
      <c r="X72" s="60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62">
      <c r="A73" s="18" t="s">
        <v>195</v>
      </c>
      <c r="B73" s="167" t="s">
        <v>196</v>
      </c>
      <c r="C73" s="167" t="s">
        <v>197</v>
      </c>
      <c r="D73" s="167" t="s">
        <v>198</v>
      </c>
      <c r="E73" s="167" t="s">
        <v>199</v>
      </c>
      <c r="F73" s="168" t="s">
        <v>585</v>
      </c>
      <c r="G73" s="168" t="s">
        <v>591</v>
      </c>
      <c r="H73" s="167" t="s">
        <v>200</v>
      </c>
      <c r="I73" s="168" t="s">
        <v>552</v>
      </c>
      <c r="J73" s="168" t="s">
        <v>484</v>
      </c>
      <c r="K73" s="168" t="s">
        <v>522</v>
      </c>
      <c r="L73" s="168" t="s">
        <v>500</v>
      </c>
      <c r="M73" s="168" t="s">
        <v>618</v>
      </c>
      <c r="N73" s="167" t="s">
        <v>201</v>
      </c>
      <c r="O73" s="168" t="s">
        <v>457</v>
      </c>
      <c r="P73" s="168" t="s">
        <v>449</v>
      </c>
      <c r="Q73" s="58"/>
      <c r="S73" s="3"/>
      <c r="T73" s="3"/>
      <c r="U73" s="60"/>
      <c r="V73" s="3"/>
      <c r="W73" s="60"/>
      <c r="X73" s="60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62">
      <c r="A74" s="18" t="s">
        <v>88</v>
      </c>
      <c r="B74" s="167" t="s">
        <v>202</v>
      </c>
      <c r="C74" s="167" t="s">
        <v>203</v>
      </c>
      <c r="D74" s="167" t="s">
        <v>204</v>
      </c>
      <c r="E74" s="167" t="s">
        <v>205</v>
      </c>
      <c r="F74" s="168" t="s">
        <v>586</v>
      </c>
      <c r="G74" s="168" t="s">
        <v>426</v>
      </c>
      <c r="H74" s="167" t="s">
        <v>206</v>
      </c>
      <c r="I74" s="169" t="s">
        <v>553</v>
      </c>
      <c r="J74" s="168" t="s">
        <v>492</v>
      </c>
      <c r="K74" s="168" t="s">
        <v>523</v>
      </c>
      <c r="L74" s="168" t="s">
        <v>503</v>
      </c>
      <c r="M74" s="168" t="s">
        <v>619</v>
      </c>
      <c r="N74" s="167" t="s">
        <v>207</v>
      </c>
      <c r="O74" s="168" t="s">
        <v>468</v>
      </c>
      <c r="P74" s="168" t="s">
        <v>437</v>
      </c>
      <c r="Q74" s="58"/>
      <c r="S74" s="3"/>
      <c r="T74" s="3"/>
      <c r="U74" s="60"/>
      <c r="V74" s="60"/>
      <c r="W74" s="60"/>
      <c r="X74" s="60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62">
      <c r="A75" s="18" t="s">
        <v>187</v>
      </c>
      <c r="B75" s="167" t="s">
        <v>208</v>
      </c>
      <c r="C75" s="167" t="s">
        <v>209</v>
      </c>
      <c r="D75" s="167" t="s">
        <v>210</v>
      </c>
      <c r="E75" s="167" t="s">
        <v>211</v>
      </c>
      <c r="F75" s="168" t="s">
        <v>587</v>
      </c>
      <c r="G75" s="168" t="s">
        <v>428</v>
      </c>
      <c r="H75" s="167" t="s">
        <v>212</v>
      </c>
      <c r="I75" s="169" t="s">
        <v>554</v>
      </c>
      <c r="J75" s="169" t="s">
        <v>433</v>
      </c>
      <c r="K75" s="168" t="s">
        <v>524</v>
      </c>
      <c r="L75" s="168" t="s">
        <v>601</v>
      </c>
      <c r="M75" s="168" t="s">
        <v>620</v>
      </c>
      <c r="N75" s="167" t="s">
        <v>213</v>
      </c>
      <c r="O75" s="168" t="s">
        <v>456</v>
      </c>
      <c r="P75" s="168" t="s">
        <v>439</v>
      </c>
      <c r="Q75" s="58"/>
      <c r="S75" s="3"/>
      <c r="T75" s="3"/>
      <c r="U75" s="60"/>
      <c r="V75" s="3"/>
      <c r="W75" s="60"/>
      <c r="X75" s="60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62">
      <c r="A76" s="18" t="s">
        <v>214</v>
      </c>
      <c r="B76" s="167" t="s">
        <v>215</v>
      </c>
      <c r="C76" s="167" t="s">
        <v>216</v>
      </c>
      <c r="D76" s="167" t="s">
        <v>217</v>
      </c>
      <c r="E76" s="167" t="s">
        <v>218</v>
      </c>
      <c r="F76" s="168" t="s">
        <v>588</v>
      </c>
      <c r="G76" s="168"/>
      <c r="H76" s="167" t="s">
        <v>219</v>
      </c>
      <c r="I76" s="168" t="s">
        <v>592</v>
      </c>
      <c r="J76" s="168" t="s">
        <v>491</v>
      </c>
      <c r="K76" s="168" t="s">
        <v>525</v>
      </c>
      <c r="L76" s="168" t="s">
        <v>497</v>
      </c>
      <c r="M76" s="168"/>
      <c r="N76" s="167" t="s">
        <v>220</v>
      </c>
      <c r="O76" s="168" t="s">
        <v>464</v>
      </c>
      <c r="P76" s="168" t="s">
        <v>438</v>
      </c>
      <c r="Q76" s="58"/>
      <c r="S76" s="3"/>
      <c r="T76" s="3"/>
      <c r="U76" s="60"/>
      <c r="V76" s="3"/>
      <c r="W76" s="60"/>
      <c r="X76" s="60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</row>
    <row r="77" spans="1:62">
      <c r="A77" s="18" t="s">
        <v>221</v>
      </c>
      <c r="B77" s="167" t="s">
        <v>222</v>
      </c>
      <c r="C77" s="167" t="s">
        <v>223</v>
      </c>
      <c r="D77" s="167" t="s">
        <v>224</v>
      </c>
      <c r="E77" s="167" t="s">
        <v>225</v>
      </c>
      <c r="F77" s="168" t="s">
        <v>589</v>
      </c>
      <c r="G77" s="168"/>
      <c r="H77" s="167" t="s">
        <v>226</v>
      </c>
      <c r="I77" s="168" t="s">
        <v>555</v>
      </c>
      <c r="J77" s="168" t="s">
        <v>490</v>
      </c>
      <c r="K77" s="168" t="s">
        <v>526</v>
      </c>
      <c r="L77" s="168" t="s">
        <v>507</v>
      </c>
      <c r="M77" s="168"/>
      <c r="N77" s="167" t="s">
        <v>227</v>
      </c>
      <c r="O77" s="168" t="s">
        <v>467</v>
      </c>
      <c r="P77" s="168" t="s">
        <v>451</v>
      </c>
      <c r="Q77" s="58"/>
      <c r="S77" s="3"/>
      <c r="T77" s="3"/>
      <c r="U77" s="60"/>
      <c r="V77" s="60"/>
      <c r="W77" s="60"/>
      <c r="X77" s="60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</row>
    <row r="78" spans="1:62">
      <c r="A78" s="18" t="s">
        <v>228</v>
      </c>
      <c r="B78" s="167" t="s">
        <v>229</v>
      </c>
      <c r="C78" s="167" t="s">
        <v>230</v>
      </c>
      <c r="D78" s="167" t="s">
        <v>231</v>
      </c>
      <c r="E78" s="167" t="s">
        <v>232</v>
      </c>
      <c r="F78" s="168" t="s">
        <v>569</v>
      </c>
      <c r="G78" s="168"/>
      <c r="H78" s="170"/>
      <c r="I78" s="168" t="s">
        <v>556</v>
      </c>
      <c r="J78" s="168" t="s">
        <v>493</v>
      </c>
      <c r="K78" s="168" t="s">
        <v>527</v>
      </c>
      <c r="L78" s="168" t="s">
        <v>508</v>
      </c>
      <c r="M78" s="168"/>
      <c r="N78" s="167" t="s">
        <v>233</v>
      </c>
      <c r="O78" s="168" t="s">
        <v>470</v>
      </c>
      <c r="P78" s="168" t="s">
        <v>441</v>
      </c>
      <c r="Q78" s="58"/>
      <c r="S78" s="3"/>
      <c r="T78" s="3"/>
      <c r="U78" s="60"/>
      <c r="V78" s="3"/>
      <c r="W78" s="60"/>
      <c r="X78" s="60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</row>
    <row r="79" spans="1:62">
      <c r="A79" s="18" t="s">
        <v>234</v>
      </c>
      <c r="B79" s="167" t="s">
        <v>235</v>
      </c>
      <c r="C79" s="167" t="s">
        <v>236</v>
      </c>
      <c r="D79" s="167" t="s">
        <v>237</v>
      </c>
      <c r="E79" s="167" t="s">
        <v>238</v>
      </c>
      <c r="F79" s="168" t="s">
        <v>590</v>
      </c>
      <c r="G79" s="168"/>
      <c r="H79" s="170"/>
      <c r="I79" s="168" t="s">
        <v>557</v>
      </c>
      <c r="J79" s="167"/>
      <c r="K79" s="168" t="s">
        <v>528</v>
      </c>
      <c r="L79" s="167"/>
      <c r="M79" s="168"/>
      <c r="N79" s="167" t="s">
        <v>239</v>
      </c>
      <c r="O79" s="167"/>
      <c r="P79" s="168" t="s">
        <v>433</v>
      </c>
      <c r="Q79" s="58"/>
      <c r="S79" s="3"/>
      <c r="T79" s="3"/>
      <c r="U79" s="60"/>
      <c r="V79" s="3"/>
      <c r="W79" s="60"/>
      <c r="X79" s="60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</row>
    <row r="80" spans="1:62">
      <c r="A80" s="18" t="s">
        <v>240</v>
      </c>
      <c r="B80" s="167" t="s">
        <v>214</v>
      </c>
      <c r="C80" s="167" t="s">
        <v>241</v>
      </c>
      <c r="D80" s="167" t="s">
        <v>242</v>
      </c>
      <c r="E80" s="170" t="s">
        <v>567</v>
      </c>
      <c r="F80" s="168"/>
      <c r="G80" s="168"/>
      <c r="H80" s="170"/>
      <c r="I80" s="168" t="s">
        <v>593</v>
      </c>
      <c r="J80" s="167"/>
      <c r="K80" s="168" t="s">
        <v>529</v>
      </c>
      <c r="L80" s="167"/>
      <c r="M80" s="168"/>
      <c r="N80" s="167" t="s">
        <v>243</v>
      </c>
      <c r="O80" s="167"/>
      <c r="P80" s="168" t="s">
        <v>450</v>
      </c>
      <c r="Q80" s="58"/>
      <c r="S80" s="3"/>
      <c r="T80" s="3"/>
      <c r="U80" s="60"/>
      <c r="V80" s="3"/>
      <c r="W80" s="60"/>
      <c r="X80" s="60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66">
      <c r="A81" s="18" t="s">
        <v>244</v>
      </c>
      <c r="B81" s="167" t="s">
        <v>245</v>
      </c>
      <c r="C81" s="167" t="s">
        <v>246</v>
      </c>
      <c r="D81" s="167" t="s">
        <v>247</v>
      </c>
      <c r="E81" s="170"/>
      <c r="F81" s="168"/>
      <c r="G81" s="18"/>
      <c r="H81" s="170"/>
      <c r="I81" s="168" t="s">
        <v>558</v>
      </c>
      <c r="J81" s="167"/>
      <c r="K81" s="168" t="s">
        <v>530</v>
      </c>
      <c r="L81" s="167"/>
      <c r="M81" s="18"/>
      <c r="N81" s="167" t="s">
        <v>248</v>
      </c>
      <c r="O81" s="167"/>
      <c r="P81" s="167"/>
      <c r="Q81" s="58"/>
      <c r="S81" s="3"/>
      <c r="T81" s="3"/>
      <c r="U81" s="60"/>
      <c r="V81" s="3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</row>
    <row r="82" spans="1:66">
      <c r="A82" s="18" t="s">
        <v>249</v>
      </c>
      <c r="B82" s="167" t="s">
        <v>250</v>
      </c>
      <c r="C82" s="167" t="s">
        <v>251</v>
      </c>
      <c r="D82" s="167" t="s">
        <v>252</v>
      </c>
      <c r="E82" s="170"/>
      <c r="F82" s="168"/>
      <c r="G82" s="18"/>
      <c r="H82" s="19"/>
      <c r="I82" s="168" t="s">
        <v>559</v>
      </c>
      <c r="J82" s="167"/>
      <c r="K82" s="168" t="s">
        <v>531</v>
      </c>
      <c r="L82" s="167"/>
      <c r="M82" s="20"/>
      <c r="N82" s="167" t="s">
        <v>253</v>
      </c>
      <c r="O82" s="167"/>
      <c r="P82" s="167"/>
      <c r="Q82" s="58"/>
      <c r="S82" s="3"/>
      <c r="T82" s="3"/>
      <c r="U82" s="60"/>
      <c r="V82" s="3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</row>
    <row r="83" spans="1:66">
      <c r="A83" s="18" t="s">
        <v>254</v>
      </c>
      <c r="B83" s="167" t="s">
        <v>255</v>
      </c>
      <c r="C83" s="186"/>
      <c r="D83" s="167" t="s">
        <v>256</v>
      </c>
      <c r="E83" s="170"/>
      <c r="F83" s="168"/>
      <c r="G83" s="18"/>
      <c r="H83" s="19"/>
      <c r="I83" s="168" t="s">
        <v>560</v>
      </c>
      <c r="J83" s="18"/>
      <c r="K83" s="168" t="s">
        <v>532</v>
      </c>
      <c r="L83" s="18"/>
      <c r="M83" s="20"/>
      <c r="N83" s="167" t="s">
        <v>258</v>
      </c>
      <c r="O83" s="22"/>
      <c r="P83" s="167"/>
      <c r="Q83" s="58"/>
      <c r="S83" s="3"/>
      <c r="T83" s="3"/>
      <c r="U83" s="60"/>
      <c r="V83" s="3"/>
      <c r="W83" s="60"/>
      <c r="X83" s="60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66">
      <c r="A84" s="19"/>
      <c r="B84" s="167" t="s">
        <v>259</v>
      </c>
      <c r="C84" s="186"/>
      <c r="D84" s="167" t="s">
        <v>260</v>
      </c>
      <c r="E84" s="19"/>
      <c r="F84" s="21"/>
      <c r="G84" s="18"/>
      <c r="H84" s="19"/>
      <c r="I84" s="168" t="s">
        <v>561</v>
      </c>
      <c r="J84" s="18"/>
      <c r="K84" s="168" t="s">
        <v>533</v>
      </c>
      <c r="L84" s="18"/>
      <c r="M84" s="20"/>
      <c r="N84" s="167" t="s">
        <v>86</v>
      </c>
      <c r="O84" s="22"/>
      <c r="P84" s="167"/>
      <c r="Q84" s="58"/>
      <c r="S84" s="3"/>
      <c r="T84" s="3"/>
      <c r="U84" s="60"/>
      <c r="V84" s="3"/>
      <c r="W84" s="60"/>
      <c r="X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1:66">
      <c r="A85" s="19"/>
      <c r="B85" s="167" t="s">
        <v>261</v>
      </c>
      <c r="C85" s="186"/>
      <c r="D85" s="167" t="s">
        <v>262</v>
      </c>
      <c r="E85" s="19"/>
      <c r="F85" s="21"/>
      <c r="G85" s="18"/>
      <c r="H85" s="19"/>
      <c r="I85" s="168" t="s">
        <v>562</v>
      </c>
      <c r="J85" s="18"/>
      <c r="K85" s="168" t="s">
        <v>534</v>
      </c>
      <c r="L85" s="18"/>
      <c r="M85" s="20"/>
      <c r="N85" s="167" t="s">
        <v>263</v>
      </c>
      <c r="O85" s="22"/>
      <c r="P85" s="18"/>
      <c r="Q85" s="58"/>
      <c r="S85" s="3"/>
      <c r="T85" s="3"/>
      <c r="U85" s="60"/>
      <c r="V85" s="3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6">
      <c r="A86" s="19"/>
      <c r="B86" s="167" t="s">
        <v>264</v>
      </c>
      <c r="C86" s="21"/>
      <c r="D86" s="167" t="s">
        <v>265</v>
      </c>
      <c r="E86" s="19"/>
      <c r="F86" s="21"/>
      <c r="G86" s="18"/>
      <c r="H86" s="19"/>
      <c r="I86" s="168" t="s">
        <v>563</v>
      </c>
      <c r="J86" s="18"/>
      <c r="K86" s="168" t="s">
        <v>535</v>
      </c>
      <c r="L86" s="18"/>
      <c r="M86" s="20"/>
      <c r="N86" s="167" t="s">
        <v>266</v>
      </c>
      <c r="O86" s="22"/>
      <c r="P86" s="18"/>
      <c r="Q86" s="58"/>
      <c r="S86" s="3"/>
      <c r="T86" s="3"/>
      <c r="U86" s="60"/>
      <c r="V86" s="3"/>
      <c r="W86" s="60"/>
      <c r="X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6">
      <c r="A87" s="19"/>
      <c r="B87" s="167" t="s">
        <v>267</v>
      </c>
      <c r="C87" s="21"/>
      <c r="D87" s="167" t="s">
        <v>268</v>
      </c>
      <c r="E87" s="19"/>
      <c r="F87" s="21"/>
      <c r="G87" s="18"/>
      <c r="H87" s="19"/>
      <c r="I87" s="167"/>
      <c r="J87" s="18"/>
      <c r="K87" s="168" t="s">
        <v>536</v>
      </c>
      <c r="L87" s="18"/>
      <c r="M87" s="20"/>
      <c r="N87" s="167" t="s">
        <v>269</v>
      </c>
      <c r="O87" s="22"/>
      <c r="P87" s="18"/>
      <c r="Q87" s="58"/>
      <c r="S87" s="3"/>
      <c r="T87" s="3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6">
      <c r="A88" s="19"/>
      <c r="B88" s="167" t="s">
        <v>270</v>
      </c>
      <c r="C88" s="21"/>
      <c r="D88" s="167" t="s">
        <v>271</v>
      </c>
      <c r="E88" s="19"/>
      <c r="F88" s="19"/>
      <c r="G88" s="18"/>
      <c r="H88" s="19"/>
      <c r="I88" s="167"/>
      <c r="J88" s="18"/>
      <c r="K88" s="168" t="s">
        <v>537</v>
      </c>
      <c r="L88" s="18"/>
      <c r="M88" s="20"/>
      <c r="N88" s="167" t="s">
        <v>272</v>
      </c>
      <c r="O88" s="22"/>
      <c r="P88" s="18"/>
      <c r="Q88" s="58"/>
      <c r="S88" s="3"/>
      <c r="T88" s="3"/>
      <c r="U88" s="60"/>
      <c r="V88" s="3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6">
      <c r="A89" s="19"/>
      <c r="B89" s="167" t="s">
        <v>273</v>
      </c>
      <c r="C89" s="21"/>
      <c r="D89" s="167" t="s">
        <v>274</v>
      </c>
      <c r="E89" s="19"/>
      <c r="F89" s="21"/>
      <c r="G89" s="19"/>
      <c r="H89" s="19"/>
      <c r="I89" s="170"/>
      <c r="J89" s="19"/>
      <c r="K89" s="167"/>
      <c r="L89" s="18"/>
      <c r="M89" s="20"/>
      <c r="N89" s="167" t="s">
        <v>275</v>
      </c>
      <c r="O89" s="22"/>
      <c r="P89" s="18"/>
      <c r="Q89" s="58"/>
      <c r="R89" s="3"/>
      <c r="S89" s="3"/>
      <c r="T89" s="3"/>
      <c r="U89" s="60"/>
      <c r="V89" s="3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6">
      <c r="A90" s="19"/>
      <c r="B90" s="167" t="s">
        <v>276</v>
      </c>
      <c r="C90" s="21"/>
      <c r="D90" s="167" t="s">
        <v>277</v>
      </c>
      <c r="E90" s="19"/>
      <c r="F90" s="21"/>
      <c r="G90" s="19"/>
      <c r="H90" s="19"/>
      <c r="I90" s="170"/>
      <c r="J90" s="19"/>
      <c r="K90" s="167"/>
      <c r="L90" s="18"/>
      <c r="M90" s="20"/>
      <c r="N90" s="167" t="s">
        <v>278</v>
      </c>
      <c r="O90" s="22"/>
      <c r="P90" s="18"/>
      <c r="Q90" s="58"/>
      <c r="R90" s="3"/>
      <c r="S90" s="3"/>
      <c r="T90" s="3"/>
      <c r="U90" s="60"/>
      <c r="V90" s="3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</row>
    <row r="91" spans="1:66">
      <c r="A91" s="19"/>
      <c r="B91" s="167" t="s">
        <v>279</v>
      </c>
      <c r="C91" s="21"/>
      <c r="D91" s="167" t="s">
        <v>280</v>
      </c>
      <c r="E91" s="19"/>
      <c r="F91" s="21"/>
      <c r="G91" s="19"/>
      <c r="H91" s="19"/>
      <c r="I91" s="19"/>
      <c r="J91" s="19"/>
      <c r="K91" s="167"/>
      <c r="L91" s="18"/>
      <c r="M91" s="20"/>
      <c r="N91" s="167" t="s">
        <v>281</v>
      </c>
      <c r="O91" s="22"/>
      <c r="P91" s="18"/>
      <c r="Q91" s="58"/>
      <c r="R91" s="3"/>
      <c r="S91" s="3"/>
      <c r="T91" s="3"/>
      <c r="U91" s="60"/>
      <c r="V91" s="3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1:66">
      <c r="A92" s="19"/>
      <c r="B92" s="167" t="s">
        <v>282</v>
      </c>
      <c r="C92" s="21"/>
      <c r="D92" s="167" t="s">
        <v>283</v>
      </c>
      <c r="E92" s="19"/>
      <c r="F92" s="21"/>
      <c r="G92" s="19"/>
      <c r="H92" s="19"/>
      <c r="I92" s="19"/>
      <c r="J92" s="19"/>
      <c r="K92" s="167"/>
      <c r="L92" s="18"/>
      <c r="M92" s="20"/>
      <c r="N92" s="167" t="s">
        <v>284</v>
      </c>
      <c r="O92" s="22"/>
      <c r="P92" s="18"/>
      <c r="Q92" s="58"/>
      <c r="R92" s="3"/>
      <c r="S92" s="3"/>
      <c r="T92" s="3"/>
      <c r="U92" s="60"/>
      <c r="V92" s="3"/>
      <c r="W92" s="60"/>
      <c r="X92" s="60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</row>
    <row r="93" spans="1:66">
      <c r="A93" s="19"/>
      <c r="B93" s="167" t="s">
        <v>285</v>
      </c>
      <c r="C93" s="21"/>
      <c r="D93" s="186"/>
      <c r="E93" s="19"/>
      <c r="F93" s="21"/>
      <c r="G93" s="19"/>
      <c r="H93" s="19"/>
      <c r="I93" s="19"/>
      <c r="J93" s="19"/>
      <c r="K93" s="18"/>
      <c r="L93" s="18"/>
      <c r="M93" s="20"/>
      <c r="N93" s="167" t="s">
        <v>286</v>
      </c>
      <c r="O93" s="22"/>
      <c r="P93" s="18"/>
      <c r="Q93" s="58"/>
      <c r="R93" s="3"/>
      <c r="S93" s="3"/>
      <c r="T93" s="3"/>
      <c r="U93" s="60"/>
      <c r="V93" s="3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</row>
    <row r="94" spans="1:66">
      <c r="A94" s="19"/>
      <c r="B94" s="167" t="s">
        <v>287</v>
      </c>
      <c r="C94" s="21"/>
      <c r="D94" s="186"/>
      <c r="E94" s="19"/>
      <c r="F94" s="21"/>
      <c r="G94" s="19"/>
      <c r="H94" s="19"/>
      <c r="I94" s="19"/>
      <c r="J94" s="19"/>
      <c r="K94" s="18"/>
      <c r="L94" s="18"/>
      <c r="M94" s="20"/>
      <c r="N94" s="167" t="s">
        <v>257</v>
      </c>
      <c r="O94" s="22"/>
      <c r="P94" s="18"/>
      <c r="Q94" s="58"/>
      <c r="R94" s="3"/>
      <c r="S94" s="3"/>
      <c r="T94" s="3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</row>
    <row r="95" spans="1:66">
      <c r="A95" s="19"/>
      <c r="B95" s="167" t="s">
        <v>288</v>
      </c>
      <c r="C95" s="21"/>
      <c r="D95" s="186"/>
      <c r="E95" s="19"/>
      <c r="F95" s="21"/>
      <c r="G95" s="19"/>
      <c r="H95" s="19"/>
      <c r="I95" s="19"/>
      <c r="J95" s="19"/>
      <c r="K95" s="18"/>
      <c r="L95" s="18"/>
      <c r="M95" s="20"/>
      <c r="N95" s="187"/>
      <c r="O95" s="22"/>
      <c r="P95" s="18"/>
      <c r="Q95" s="58"/>
      <c r="R95" s="3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</row>
    <row r="96" spans="1:66">
      <c r="A96" s="19"/>
      <c r="B96" s="167" t="s">
        <v>232</v>
      </c>
      <c r="C96" s="19"/>
      <c r="D96" s="19"/>
      <c r="E96" s="19"/>
      <c r="F96" s="19"/>
      <c r="G96" s="19"/>
      <c r="H96" s="19"/>
      <c r="I96" s="19"/>
      <c r="J96" s="19"/>
      <c r="K96" s="19"/>
      <c r="L96" s="18"/>
      <c r="M96" s="20"/>
      <c r="N96" s="187"/>
      <c r="O96" s="22"/>
      <c r="P96" s="18"/>
      <c r="Q96" s="58"/>
      <c r="R96" s="3"/>
      <c r="S96" s="3"/>
      <c r="T96" s="60"/>
      <c r="U96" s="3"/>
      <c r="V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</row>
    <row r="97" spans="1:69">
      <c r="A97" s="19"/>
      <c r="B97" s="170"/>
      <c r="C97" s="19"/>
      <c r="D97" s="19"/>
      <c r="E97" s="19"/>
      <c r="F97" s="19"/>
      <c r="G97" s="19"/>
      <c r="H97" s="19"/>
      <c r="I97" s="19"/>
      <c r="J97" s="19"/>
      <c r="K97" s="19"/>
      <c r="L97" s="18"/>
      <c r="M97" s="17"/>
      <c r="N97" s="188"/>
      <c r="O97" s="17"/>
      <c r="P97" s="18"/>
      <c r="Q97" s="58"/>
      <c r="R97" s="3"/>
      <c r="S97" s="3"/>
      <c r="T97" s="60"/>
      <c r="U97" s="60"/>
      <c r="V97" s="60"/>
      <c r="W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</row>
    <row r="98" spans="1:69">
      <c r="A98" s="19"/>
      <c r="B98" s="170"/>
      <c r="C98" s="19"/>
      <c r="D98" s="19"/>
      <c r="E98" s="19"/>
      <c r="F98" s="19"/>
      <c r="G98" s="19"/>
      <c r="H98" s="19"/>
      <c r="I98" s="19"/>
      <c r="J98" s="19"/>
      <c r="K98" s="19"/>
      <c r="L98" s="18"/>
      <c r="M98" s="20"/>
      <c r="N98" s="20"/>
      <c r="O98" s="22"/>
      <c r="P98" s="18"/>
      <c r="Q98" s="58"/>
      <c r="R98" s="3"/>
      <c r="S98" s="3"/>
      <c r="T98" s="60"/>
      <c r="U98" s="3"/>
      <c r="V98" s="60"/>
      <c r="W98" s="60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9">
      <c r="A99" s="19"/>
      <c r="B99" s="170"/>
      <c r="C99" s="19"/>
      <c r="D99" s="19"/>
      <c r="E99" s="19"/>
      <c r="F99" s="19"/>
      <c r="G99" s="19"/>
      <c r="H99" s="19"/>
      <c r="I99" s="19"/>
      <c r="J99" s="19"/>
      <c r="K99" s="19"/>
      <c r="L99" s="18"/>
      <c r="M99" s="20"/>
      <c r="N99" s="20"/>
      <c r="O99" s="22"/>
      <c r="P99" s="18"/>
      <c r="Q99" s="58"/>
      <c r="R99" s="3"/>
      <c r="S99" s="3"/>
      <c r="T99" s="60"/>
      <c r="U99" s="60"/>
      <c r="V99" s="60"/>
      <c r="W99" s="60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</row>
    <row r="100" spans="1:69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7"/>
      <c r="N100" s="17"/>
      <c r="O100" s="17"/>
      <c r="P100" s="18"/>
      <c r="Q100" s="58"/>
      <c r="R100" s="3"/>
      <c r="S100" s="3"/>
      <c r="T100" s="60"/>
      <c r="U100" s="3"/>
      <c r="V100" s="60"/>
      <c r="W100" s="60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</row>
    <row r="101" spans="1:69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8"/>
      <c r="Q101" s="58"/>
      <c r="S101" s="3"/>
      <c r="T101" s="60"/>
      <c r="U101" s="3"/>
      <c r="V101" s="60"/>
      <c r="W101" s="60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9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8"/>
      <c r="Q102" s="58"/>
      <c r="R102" s="61"/>
      <c r="S102" s="3"/>
      <c r="T102" s="60"/>
      <c r="U102" s="3"/>
      <c r="V102" s="60"/>
      <c r="W102" s="60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9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8"/>
      <c r="Q103" s="58"/>
      <c r="R103" s="61"/>
      <c r="S103" s="3"/>
      <c r="T103" s="60"/>
      <c r="U103" s="3"/>
      <c r="V103" s="60"/>
      <c r="W103" s="60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9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8"/>
      <c r="Q104" s="58"/>
      <c r="R104" s="61"/>
      <c r="S104" s="3"/>
      <c r="T104" s="60"/>
      <c r="U104" s="60"/>
      <c r="V104" s="60"/>
      <c r="W104" s="60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9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8"/>
      <c r="Q105" s="58"/>
      <c r="R105" s="61"/>
      <c r="S105" s="3"/>
      <c r="T105" s="60"/>
      <c r="U105" s="3"/>
      <c r="V105" s="60"/>
      <c r="W105" s="60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9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8"/>
      <c r="Q106" s="58"/>
      <c r="R106" s="61"/>
      <c r="S106" s="3"/>
      <c r="T106" s="60"/>
      <c r="U106" s="3"/>
      <c r="V106" s="60"/>
      <c r="W106" s="60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9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8"/>
      <c r="Q107" s="58"/>
      <c r="R107" s="61"/>
      <c r="S107" s="3"/>
      <c r="T107" s="60"/>
      <c r="U107" s="60"/>
      <c r="V107" s="60"/>
      <c r="W107" s="60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</row>
    <row r="108" spans="1:69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61"/>
      <c r="R108" s="61"/>
      <c r="W108" s="60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</row>
    <row r="109" spans="1:69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61"/>
      <c r="R109" s="61"/>
      <c r="S109" s="61"/>
      <c r="T109" s="61"/>
      <c r="U109" s="61"/>
      <c r="V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</row>
    <row r="110" spans="1:69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</row>
    <row r="111" spans="1:69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</row>
    <row r="112" spans="1:69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</row>
    <row r="113" spans="1:72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</row>
    <row r="114" spans="1:72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</row>
    <row r="115" spans="1:72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</row>
    <row r="116" spans="1:72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</row>
    <row r="117" spans="1:72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</row>
    <row r="118" spans="1:7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</row>
    <row r="119" spans="1:72" ht="15.75" thickBo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173" t="s">
        <v>394</v>
      </c>
      <c r="AB119" s="173"/>
      <c r="AC119" s="173"/>
      <c r="AD119" s="173"/>
      <c r="AE119" s="173"/>
      <c r="AF119" s="173"/>
      <c r="AG119" s="173" t="s">
        <v>395</v>
      </c>
      <c r="AH119" s="173"/>
      <c r="AI119" s="173"/>
      <c r="AJ119" s="173"/>
      <c r="AK119" s="173"/>
      <c r="AL119" s="173"/>
      <c r="AM119" s="173"/>
      <c r="AN119" s="173"/>
      <c r="AO119" s="173"/>
      <c r="AP119" s="61"/>
      <c r="AQ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</row>
    <row r="120" spans="1:72">
      <c r="A120" s="137" t="s">
        <v>361</v>
      </c>
      <c r="B120" s="113" t="s">
        <v>362</v>
      </c>
      <c r="C120" s="113" t="s">
        <v>363</v>
      </c>
      <c r="D120" s="113" t="s">
        <v>364</v>
      </c>
      <c r="E120" s="113" t="s">
        <v>365</v>
      </c>
      <c r="F120" s="113" t="s">
        <v>10</v>
      </c>
      <c r="G120" s="113" t="s">
        <v>366</v>
      </c>
      <c r="H120" s="113" t="s">
        <v>11</v>
      </c>
      <c r="I120" s="113" t="s">
        <v>13</v>
      </c>
      <c r="J120" s="113" t="s">
        <v>367</v>
      </c>
      <c r="K120" s="138" t="s">
        <v>368</v>
      </c>
      <c r="L120" s="138" t="s">
        <v>369</v>
      </c>
      <c r="M120" s="138" t="s">
        <v>370</v>
      </c>
      <c r="N120" s="138" t="s">
        <v>371</v>
      </c>
      <c r="O120" s="138" t="s">
        <v>403</v>
      </c>
      <c r="P120" s="138" t="s">
        <v>401</v>
      </c>
      <c r="Q120" s="138" t="s">
        <v>402</v>
      </c>
      <c r="R120" s="138" t="s">
        <v>372</v>
      </c>
      <c r="S120" s="138" t="s">
        <v>373</v>
      </c>
      <c r="T120" s="138" t="s">
        <v>374</v>
      </c>
      <c r="U120" s="138" t="s">
        <v>77</v>
      </c>
      <c r="V120" s="138" t="s">
        <v>375</v>
      </c>
      <c r="W120" s="138" t="s">
        <v>376</v>
      </c>
      <c r="X120" s="138" t="s">
        <v>377</v>
      </c>
      <c r="Y120" s="138" t="s">
        <v>378</v>
      </c>
      <c r="Z120" s="138" t="s">
        <v>380</v>
      </c>
      <c r="AA120" s="138" t="s">
        <v>381</v>
      </c>
      <c r="AB120" s="138" t="s">
        <v>382</v>
      </c>
      <c r="AC120" s="138" t="s">
        <v>383</v>
      </c>
      <c r="AD120" s="138" t="s">
        <v>389</v>
      </c>
      <c r="AE120" s="138" t="s">
        <v>390</v>
      </c>
      <c r="AF120" s="139" t="s">
        <v>406</v>
      </c>
      <c r="AG120" s="140" t="s">
        <v>391</v>
      </c>
      <c r="AH120" s="141" t="s">
        <v>404</v>
      </c>
      <c r="AI120" s="142" t="s">
        <v>405</v>
      </c>
      <c r="AJ120" s="113" t="s">
        <v>28</v>
      </c>
      <c r="AK120" s="138" t="s">
        <v>392</v>
      </c>
      <c r="AL120" s="138" t="s">
        <v>77</v>
      </c>
      <c r="AM120" s="138" t="s">
        <v>399</v>
      </c>
      <c r="AN120" s="138" t="s">
        <v>397</v>
      </c>
      <c r="AO120" s="138" t="s">
        <v>396</v>
      </c>
      <c r="AP120" s="138" t="s">
        <v>393</v>
      </c>
      <c r="AQ120" s="138" t="s">
        <v>400</v>
      </c>
      <c r="AR120" s="138" t="s">
        <v>411</v>
      </c>
      <c r="AS120" s="143" t="s">
        <v>412</v>
      </c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</row>
    <row r="121" spans="1:72">
      <c r="A121" s="144">
        <f>B8</f>
        <v>0</v>
      </c>
      <c r="B121" s="120">
        <f>A8</f>
        <v>1</v>
      </c>
      <c r="C121" s="120">
        <v>1</v>
      </c>
      <c r="D121" s="120">
        <f>1-COUNTBLANK(C8)</f>
        <v>0</v>
      </c>
      <c r="E121" s="120">
        <f>COUNTIF(C8,"not out")</f>
        <v>0</v>
      </c>
      <c r="F121" s="120">
        <f>F8</f>
        <v>0</v>
      </c>
      <c r="G121" s="120">
        <f>G8</f>
        <v>0</v>
      </c>
      <c r="H121" s="145">
        <f>I8</f>
        <v>0</v>
      </c>
      <c r="I121" s="120">
        <f>J8</f>
        <v>0</v>
      </c>
      <c r="J121" s="120">
        <f>K8</f>
        <v>0</v>
      </c>
      <c r="K121" s="114">
        <f>SUMIF(O$8:O$18,VLOOKUP(1,A$8:B$18,2,FALSE),Q$8:Q$18)+SUMIF(P$8:P$18,VLOOKUP(1,A$8:B$18,2,FALSE),Q$8:Q$18)</f>
        <v>0</v>
      </c>
      <c r="L121" s="114">
        <f>COUNTIFS('2nd Innings'!$C$8:$C$18,"caught",'2nd Innings'!$D$8:$D$18,VLOOKUP(1,$A$8:$B$18,2,FALSE))</f>
        <v>0</v>
      </c>
      <c r="M121" s="114">
        <f>COUNTIFS('2nd Innings'!$C$8:$C$18,"Run Out",'2nd Innings'!$D$8:$D$18,VLOOKUP(1,$A$8:$B$18,2,FALSE))</f>
        <v>0</v>
      </c>
      <c r="N121" s="114">
        <f>COUNTIFS('2nd Innings'!$C$8:$C$18,"Stumped",'2nd Innings'!$D$8:$D$18,VLOOKUP(1,$A$8:$B$18,2,FALSE))</f>
        <v>0</v>
      </c>
      <c r="O121" s="114">
        <f>SUM(L121:N121)</f>
        <v>0</v>
      </c>
      <c r="P121" s="114">
        <f>COUNTIF(O121,"&gt;2")-Q121</f>
        <v>0</v>
      </c>
      <c r="Q121" s="114">
        <f>COUNTIF(O121,"&gt;4")</f>
        <v>0</v>
      </c>
      <c r="R121" s="114" t="e">
        <f>VLOOKUP(VLOOKUP(1,$A$8:$B$18,2,FALSE),'2nd Innings'!$D$26:$N$36,2,FALSE)</f>
        <v>#N/A</v>
      </c>
      <c r="S121" s="114" t="e">
        <f>VLOOKUP(VLOOKUP(1,$A$8:$B$18,2,FALSE),'2nd Innings'!$D$26:$N$36,3,FALSE)</f>
        <v>#N/A</v>
      </c>
      <c r="T121" s="114" t="e">
        <f>VLOOKUP(VLOOKUP(1,$A$8:$B$18,2,FALSE),'2nd Innings'!$D$26:$N$36,4,FALSE)</f>
        <v>#N/A</v>
      </c>
      <c r="U121" s="114" t="e">
        <f>VLOOKUP(VLOOKUP(1,$A$8:$B$18,2,FALSE),'2nd Innings'!$D$26:$N$36,5,FALSE)</f>
        <v>#N/A</v>
      </c>
      <c r="V121" s="114" t="e">
        <f>VLOOKUP(VLOOKUP(1,$A$8:$B$18,2,FALSE),'2nd Innings'!$D$26:$N$36,6,FALSE)</f>
        <v>#N/A</v>
      </c>
      <c r="W121" s="114" t="e">
        <f>VLOOKUP(VLOOKUP(1,$A$8:$B$18,2,FALSE),'2nd Innings'!$D$26:$N$36,7,FALSE)</f>
        <v>#N/A</v>
      </c>
      <c r="X121" s="114" t="e">
        <f>VLOOKUP(VLOOKUP(1,$A$8:$B$18,2,FALSE),'2nd Innings'!$D$26:$N$36,10,FALSE)</f>
        <v>#N/A</v>
      </c>
      <c r="Y121" s="114" t="e">
        <f>VLOOKUP(VLOOKUP(1,$A$8:$B$18,2,FALSE),'2nd Innings'!$D$26:$N$36,11,FALSE)</f>
        <v>#N/A</v>
      </c>
      <c r="Z121" s="114">
        <f t="shared" ref="Z121:Z142" si="5">COUNTIF(F121,"&gt;49")-AA121</f>
        <v>0</v>
      </c>
      <c r="AA121" s="114">
        <f>COUNTIF(F121,"&gt;99")</f>
        <v>0</v>
      </c>
      <c r="AB121" s="114">
        <f>COUNTIF(U121,"&gt;2")-AC121</f>
        <v>0</v>
      </c>
      <c r="AC121" s="114">
        <f>COUNTIF(U121,"&gt;4")</f>
        <v>0</v>
      </c>
      <c r="AD121" s="115" t="e">
        <f t="shared" ref="AD121:AD141" si="6">F121*((AK121)/$P$26)/$P$29</f>
        <v>#DIV/0!</v>
      </c>
      <c r="AE121" s="115" t="e">
        <f>AD121*200/$AD$143</f>
        <v>#DIV/0!</v>
      </c>
      <c r="AF121" s="116" t="e">
        <f>AE121+(10*Z121)+(25*AA121)</f>
        <v>#DIV/0!</v>
      </c>
      <c r="AG121" s="117" t="e">
        <f t="shared" ref="AG121:AG142" si="7">AQ121+(10*AB121)+(25*AC121)</f>
        <v>#N/A</v>
      </c>
      <c r="AH121" s="118">
        <f>10*(O121+P121)+(25*Q121)</f>
        <v>0</v>
      </c>
      <c r="AI121" s="119" t="e">
        <f>SUM(AF121:AH121)+2*COUNTIFS(AS121,"=1",AR121,"=W")+2*COUNTIFS(AR121,"W")+COUNTIFS(AR121,"T")</f>
        <v>#DIV/0!</v>
      </c>
      <c r="AJ121" s="115" t="e">
        <f>100*F121/G121</f>
        <v>#DIV/0!</v>
      </c>
      <c r="AK121" s="115" t="e">
        <f>$P$26-(($P$26-AJ121)/2)</f>
        <v>#DIV/0!</v>
      </c>
      <c r="AL121" s="120" t="e">
        <f t="shared" ref="AL121:AL142" si="8">U121</f>
        <v>#N/A</v>
      </c>
      <c r="AM121" s="120" t="e">
        <f>AL121*8</f>
        <v>#N/A</v>
      </c>
      <c r="AN121" s="121" t="e">
        <f>T121/R121</f>
        <v>#N/A</v>
      </c>
      <c r="AO121" s="121" t="e">
        <f>(1-NORMDIST(AN121,$P$32,($P$32/4),TRUE))*(R121/($E$37+'2nd Innings'!$E$37))</f>
        <v>#N/A</v>
      </c>
      <c r="AP121" s="120" t="e">
        <f>(AO121/AO$143)*(200-(8*($H$37+'2nd Innings'!$H$37)))</f>
        <v>#N/A</v>
      </c>
      <c r="AQ121" s="115" t="e">
        <f t="shared" ref="AQ121:AQ142" si="9">AP121+AM121</f>
        <v>#N/A</v>
      </c>
      <c r="AR121" s="114">
        <f>$F$22</f>
        <v>0</v>
      </c>
      <c r="AS121" s="122">
        <f>IF(A121='2nd Innings'!$C$34,1,0)</f>
        <v>1</v>
      </c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</row>
    <row r="122" spans="1:72">
      <c r="A122" s="144">
        <f t="shared" ref="A122:A131" si="10">B9</f>
        <v>0</v>
      </c>
      <c r="B122" s="120">
        <f t="shared" ref="B122:B131" si="11">A9</f>
        <v>2</v>
      </c>
      <c r="C122" s="120">
        <v>1</v>
      </c>
      <c r="D122" s="120">
        <f t="shared" ref="D122:D131" si="12">1-COUNTBLANK(C9)</f>
        <v>0</v>
      </c>
      <c r="E122" s="120">
        <f t="shared" ref="E122:E131" si="13">COUNTIF(C9,"not out")</f>
        <v>0</v>
      </c>
      <c r="F122" s="120">
        <f t="shared" ref="F122:G122" si="14">F9</f>
        <v>0</v>
      </c>
      <c r="G122" s="120">
        <f t="shared" si="14"/>
        <v>0</v>
      </c>
      <c r="H122" s="145">
        <f t="shared" ref="H122:J122" si="15">I9</f>
        <v>0</v>
      </c>
      <c r="I122" s="120">
        <f t="shared" si="15"/>
        <v>0</v>
      </c>
      <c r="J122" s="120">
        <f t="shared" si="15"/>
        <v>0</v>
      </c>
      <c r="K122" s="114">
        <f>SUMIF(O$8:O$18,VLOOKUP(2,A$8:B$18,2,FALSE),Q$8:Q$18)+SUMIF(P$8:P$18,VLOOKUP(2,A$8:B$18,2,FALSE),Q$8:Q$18)</f>
        <v>0</v>
      </c>
      <c r="L122" s="114">
        <f>COUNTIFS('2nd Innings'!$C$8:$C$18,"caught",'2nd Innings'!$D$8:$D$18,VLOOKUP(2,$A$8:$B$18,2,FALSE))</f>
        <v>0</v>
      </c>
      <c r="M122" s="114">
        <f>COUNTIFS('2nd Innings'!$C$8:$C$18,"Run Out",'2nd Innings'!$D$8:$D$18,VLOOKUP(2,$A$8:$B$18,2,FALSE))</f>
        <v>0</v>
      </c>
      <c r="N122" s="114">
        <f>COUNTIFS('2nd Innings'!$C$8:$C$18,"Stumped",'2nd Innings'!$D$8:$D$18,VLOOKUP(2,$A$8:$B$18,2,FALSE))</f>
        <v>0</v>
      </c>
      <c r="O122" s="114">
        <f t="shared" ref="O122:O142" si="16">SUM(L122:N122)</f>
        <v>0</v>
      </c>
      <c r="P122" s="114">
        <f t="shared" ref="P122:P142" si="17">COUNTIF(O122,"&gt;2")-Q122</f>
        <v>0</v>
      </c>
      <c r="Q122" s="114">
        <f t="shared" ref="Q122:Q142" si="18">COUNTIF(O122,"&gt;4")</f>
        <v>0</v>
      </c>
      <c r="R122" s="114" t="e">
        <f>VLOOKUP(VLOOKUP(2,$A$8:$B$18,2,FALSE),'2nd Innings'!$D$26:$N$36,2,FALSE)</f>
        <v>#N/A</v>
      </c>
      <c r="S122" s="114" t="e">
        <f>VLOOKUP(VLOOKUP(2,$A$8:$B$18,2,FALSE),'2nd Innings'!$D$26:$N$36,3,FALSE)</f>
        <v>#N/A</v>
      </c>
      <c r="T122" s="114" t="e">
        <f>VLOOKUP(VLOOKUP(2,$A$8:$B$18,2,FALSE),'2nd Innings'!$D$26:$N$36,4,FALSE)</f>
        <v>#N/A</v>
      </c>
      <c r="U122" s="114" t="e">
        <f>VLOOKUP(VLOOKUP(2,$A$8:$B$18,2,FALSE),'2nd Innings'!$D$26:$N$36,5,FALSE)</f>
        <v>#N/A</v>
      </c>
      <c r="V122" s="114" t="e">
        <f>VLOOKUP(VLOOKUP(2,$A$8:$B$18,2,FALSE),'2nd Innings'!$D$26:$N$36,6,FALSE)</f>
        <v>#N/A</v>
      </c>
      <c r="W122" s="114" t="e">
        <f>VLOOKUP(VLOOKUP(2,$A$8:$B$18,2,FALSE),'2nd Innings'!$D$26:$N$36,7,FALSE)</f>
        <v>#N/A</v>
      </c>
      <c r="X122" s="114" t="e">
        <f>VLOOKUP(VLOOKUP(2,$A$8:$B$18,2,FALSE),'2nd Innings'!$D$26:$N$36,10,FALSE)</f>
        <v>#N/A</v>
      </c>
      <c r="Y122" s="114" t="e">
        <f>VLOOKUP(VLOOKUP(2,$A$8:$B$18,2,FALSE),'2nd Innings'!$D$26:$N$36,11,FALSE)</f>
        <v>#N/A</v>
      </c>
      <c r="Z122" s="114">
        <f t="shared" si="5"/>
        <v>0</v>
      </c>
      <c r="AA122" s="114">
        <f t="shared" ref="AA122:AA142" si="19">COUNTIF(F122,"&gt;99")</f>
        <v>0</v>
      </c>
      <c r="AB122" s="114">
        <f t="shared" ref="AB122:AB142" si="20">COUNTIF(U122,"&gt;2")-AC122</f>
        <v>0</v>
      </c>
      <c r="AC122" s="114">
        <f t="shared" ref="AC122:AC142" si="21">COUNTIF(U122,"&gt;4")</f>
        <v>0</v>
      </c>
      <c r="AD122" s="115" t="e">
        <f t="shared" si="6"/>
        <v>#DIV/0!</v>
      </c>
      <c r="AE122" s="115" t="e">
        <f t="shared" ref="AE122:AE142" si="22">AD122*200/$AD$143</f>
        <v>#DIV/0!</v>
      </c>
      <c r="AF122" s="116" t="e">
        <f t="shared" ref="AF122:AF142" si="23">AE122+(10*Z122)+(25*AA122)</f>
        <v>#DIV/0!</v>
      </c>
      <c r="AG122" s="117" t="e">
        <f t="shared" si="7"/>
        <v>#N/A</v>
      </c>
      <c r="AH122" s="118">
        <f t="shared" ref="AH122:AH142" si="24">10*(O122+P122)+(25*Q122)</f>
        <v>0</v>
      </c>
      <c r="AI122" s="119" t="e">
        <f t="shared" ref="AI122:AI142" si="25">SUM(AF122:AH122)+2*COUNTIFS(AS122,"=1",AR122,"=W")+2*COUNTIFS(AR122,"W")+COUNTIFS(AR122,"T")</f>
        <v>#DIV/0!</v>
      </c>
      <c r="AJ122" s="115" t="e">
        <f t="shared" ref="AJ122:AJ142" si="26">100*F122/G122</f>
        <v>#DIV/0!</v>
      </c>
      <c r="AK122" s="115" t="e">
        <f t="shared" ref="AK122:AK142" si="27">$P$26-(($P$26-AJ122)/2)</f>
        <v>#DIV/0!</v>
      </c>
      <c r="AL122" s="120" t="e">
        <f t="shared" si="8"/>
        <v>#N/A</v>
      </c>
      <c r="AM122" s="120" t="e">
        <f>AL122*8</f>
        <v>#N/A</v>
      </c>
      <c r="AN122" s="121" t="e">
        <f>T122/R122</f>
        <v>#N/A</v>
      </c>
      <c r="AO122" s="121" t="e">
        <f>(1-NORMDIST(AN122,$P$32,($P$32/4),TRUE))*(R122/($E$37+'2nd Innings'!$E$37))</f>
        <v>#N/A</v>
      </c>
      <c r="AP122" s="120" t="e">
        <f>(AO122/AO$143)*(200-(8*($H$37+'2nd Innings'!$H$37)))</f>
        <v>#N/A</v>
      </c>
      <c r="AQ122" s="115" t="e">
        <f t="shared" si="9"/>
        <v>#N/A</v>
      </c>
      <c r="AR122" s="114">
        <f t="shared" ref="AR122:AR131" si="28">$F$22</f>
        <v>0</v>
      </c>
      <c r="AS122" s="122">
        <f>IF(A122='2nd Innings'!$C$34,1,0)</f>
        <v>1</v>
      </c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</row>
    <row r="123" spans="1:72">
      <c r="A123" s="144">
        <f t="shared" si="10"/>
        <v>0</v>
      </c>
      <c r="B123" s="120">
        <f t="shared" si="11"/>
        <v>3</v>
      </c>
      <c r="C123" s="120">
        <v>1</v>
      </c>
      <c r="D123" s="120">
        <f t="shared" si="12"/>
        <v>0</v>
      </c>
      <c r="E123" s="120">
        <f t="shared" si="13"/>
        <v>0</v>
      </c>
      <c r="F123" s="120">
        <f t="shared" ref="F123:G123" si="29">F10</f>
        <v>0</v>
      </c>
      <c r="G123" s="120">
        <f t="shared" si="29"/>
        <v>0</v>
      </c>
      <c r="H123" s="145">
        <f t="shared" ref="H123:J123" si="30">I10</f>
        <v>0</v>
      </c>
      <c r="I123" s="120">
        <f t="shared" si="30"/>
        <v>0</v>
      </c>
      <c r="J123" s="120">
        <f t="shared" si="30"/>
        <v>0</v>
      </c>
      <c r="K123" s="114">
        <f>SUMIF(O$8:O$18,VLOOKUP(3,A$8:B$18,2,FALSE),Q$8:Q$18)+SUMIF(P$8:P$18,VLOOKUP(3,A$8:B$18,2,FALSE),Q$8:Q$18)</f>
        <v>0</v>
      </c>
      <c r="L123" s="114">
        <f>COUNTIFS('2nd Innings'!$C$8:$C$18,"caught",'2nd Innings'!$D$8:$D$18,VLOOKUP(3,$A$8:$B$18,2,FALSE))</f>
        <v>0</v>
      </c>
      <c r="M123" s="114">
        <f>COUNTIFS('2nd Innings'!$C$8:$C$18,"Run Out",'2nd Innings'!$D$8:$D$18,VLOOKUP(3,$A$8:$B$18,2,FALSE))</f>
        <v>0</v>
      </c>
      <c r="N123" s="114">
        <f>COUNTIFS('2nd Innings'!$C$8:$C$18,"Stumped",'2nd Innings'!$D$8:$D$18,VLOOKUP(3,$A$8:$B$18,2,FALSE))</f>
        <v>0</v>
      </c>
      <c r="O123" s="114">
        <f t="shared" si="16"/>
        <v>0</v>
      </c>
      <c r="P123" s="114">
        <f t="shared" si="17"/>
        <v>0</v>
      </c>
      <c r="Q123" s="114">
        <f t="shared" si="18"/>
        <v>0</v>
      </c>
      <c r="R123" s="114" t="e">
        <f>VLOOKUP(VLOOKUP(3,$A$8:$B$18,2,FALSE),'2nd Innings'!$D$26:$N$36,2,FALSE)</f>
        <v>#N/A</v>
      </c>
      <c r="S123" s="114" t="e">
        <f>VLOOKUP(VLOOKUP(3,$A$8:$B$18,2,FALSE),'2nd Innings'!$D$26:$N$36,3,FALSE)</f>
        <v>#N/A</v>
      </c>
      <c r="T123" s="114" t="e">
        <f>VLOOKUP(VLOOKUP(3,$A$8:$B$18,2,FALSE),'2nd Innings'!$D$26:$N$36,4,FALSE)</f>
        <v>#N/A</v>
      </c>
      <c r="U123" s="114" t="e">
        <f>VLOOKUP(VLOOKUP(3,$A$8:$B$18,2,FALSE),'2nd Innings'!$D$26:$N$36,5,FALSE)</f>
        <v>#N/A</v>
      </c>
      <c r="V123" s="114" t="e">
        <f>VLOOKUP(VLOOKUP(3,$A$8:$B$18,2,FALSE),'2nd Innings'!$D$26:$N$36,6,FALSE)</f>
        <v>#N/A</v>
      </c>
      <c r="W123" s="114" t="e">
        <f>VLOOKUP(VLOOKUP(3,$A$8:$B$18,2,FALSE),'2nd Innings'!$D$26:$N$36,7,FALSE)</f>
        <v>#N/A</v>
      </c>
      <c r="X123" s="114" t="e">
        <f>VLOOKUP(VLOOKUP(3,$A$8:$B$18,2,FALSE),'2nd Innings'!$D$26:$N$36,10,FALSE)</f>
        <v>#N/A</v>
      </c>
      <c r="Y123" s="114" t="e">
        <f>VLOOKUP(VLOOKUP(3,$A$8:$B$18,2,FALSE),'2nd Innings'!$D$26:$N$36,11,FALSE)</f>
        <v>#N/A</v>
      </c>
      <c r="Z123" s="114">
        <f t="shared" si="5"/>
        <v>0</v>
      </c>
      <c r="AA123" s="114">
        <f t="shared" si="19"/>
        <v>0</v>
      </c>
      <c r="AB123" s="114">
        <f t="shared" si="20"/>
        <v>0</v>
      </c>
      <c r="AC123" s="114">
        <f t="shared" si="21"/>
        <v>0</v>
      </c>
      <c r="AD123" s="115" t="e">
        <f t="shared" si="6"/>
        <v>#DIV/0!</v>
      </c>
      <c r="AE123" s="115" t="e">
        <f t="shared" si="22"/>
        <v>#DIV/0!</v>
      </c>
      <c r="AF123" s="116" t="e">
        <f t="shared" si="23"/>
        <v>#DIV/0!</v>
      </c>
      <c r="AG123" s="117" t="e">
        <f t="shared" si="7"/>
        <v>#N/A</v>
      </c>
      <c r="AH123" s="118">
        <f t="shared" si="24"/>
        <v>0</v>
      </c>
      <c r="AI123" s="119" t="e">
        <f t="shared" si="25"/>
        <v>#DIV/0!</v>
      </c>
      <c r="AJ123" s="115" t="e">
        <f t="shared" si="26"/>
        <v>#DIV/0!</v>
      </c>
      <c r="AK123" s="115" t="e">
        <f t="shared" si="27"/>
        <v>#DIV/0!</v>
      </c>
      <c r="AL123" s="120" t="e">
        <f t="shared" si="8"/>
        <v>#N/A</v>
      </c>
      <c r="AM123" s="120" t="e">
        <f t="shared" ref="AM123:AM142" si="31">AL123*8</f>
        <v>#N/A</v>
      </c>
      <c r="AN123" s="121" t="e">
        <f t="shared" ref="AN123:AN142" si="32">T123/R123</f>
        <v>#N/A</v>
      </c>
      <c r="AO123" s="121" t="e">
        <f>(1-NORMDIST(AN123,$P$32,($P$32/4),TRUE))*(R123/($E$37+'2nd Innings'!$E$37))</f>
        <v>#N/A</v>
      </c>
      <c r="AP123" s="120" t="e">
        <f>(AO123/AO$143)*(200-(8*($H$37+'2nd Innings'!$H$37)))</f>
        <v>#N/A</v>
      </c>
      <c r="AQ123" s="115" t="e">
        <f t="shared" si="9"/>
        <v>#N/A</v>
      </c>
      <c r="AR123" s="114">
        <f t="shared" si="28"/>
        <v>0</v>
      </c>
      <c r="AS123" s="122">
        <f>IF(A123='2nd Innings'!$C$34,1,0)</f>
        <v>1</v>
      </c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</row>
    <row r="124" spans="1:72">
      <c r="A124" s="144">
        <f t="shared" si="10"/>
        <v>0</v>
      </c>
      <c r="B124" s="120">
        <f t="shared" si="11"/>
        <v>4</v>
      </c>
      <c r="C124" s="120">
        <v>1</v>
      </c>
      <c r="D124" s="120">
        <f t="shared" si="12"/>
        <v>0</v>
      </c>
      <c r="E124" s="120">
        <f t="shared" si="13"/>
        <v>0</v>
      </c>
      <c r="F124" s="120">
        <f t="shared" ref="F124:G124" si="33">F11</f>
        <v>0</v>
      </c>
      <c r="G124" s="120">
        <f t="shared" si="33"/>
        <v>0</v>
      </c>
      <c r="H124" s="145">
        <f t="shared" ref="H124:J124" si="34">I11</f>
        <v>0</v>
      </c>
      <c r="I124" s="120">
        <f t="shared" si="34"/>
        <v>0</v>
      </c>
      <c r="J124" s="120">
        <f t="shared" si="34"/>
        <v>0</v>
      </c>
      <c r="K124" s="114">
        <f>SUMIF(O$8:O$18,VLOOKUP(4,A$8:B$18,2,FALSE),Q$8:Q$18)+SUMIF(P$8:P$18,VLOOKUP(4,A$8:B$18,2,FALSE),Q$8:Q$18)</f>
        <v>0</v>
      </c>
      <c r="L124" s="114">
        <f>COUNTIFS('2nd Innings'!$C$8:$C$18,"caught",'2nd Innings'!$D$8:$D$18,VLOOKUP(4,$A$8:$B$18,2,FALSE))</f>
        <v>0</v>
      </c>
      <c r="M124" s="114">
        <f>COUNTIFS('2nd Innings'!$C$8:$C$18,"Run Out",'2nd Innings'!$D$8:$D$18,VLOOKUP(4,$A$8:$B$18,2,FALSE))</f>
        <v>0</v>
      </c>
      <c r="N124" s="114">
        <f>COUNTIFS('2nd Innings'!$C$8:$C$18,"Stumped",'2nd Innings'!$D$8:$D$18,VLOOKUP(4,$A$8:$B$18,2,FALSE))</f>
        <v>0</v>
      </c>
      <c r="O124" s="114">
        <f t="shared" si="16"/>
        <v>0</v>
      </c>
      <c r="P124" s="114">
        <f t="shared" si="17"/>
        <v>0</v>
      </c>
      <c r="Q124" s="114">
        <f t="shared" si="18"/>
        <v>0</v>
      </c>
      <c r="R124" s="114" t="e">
        <f>VLOOKUP(VLOOKUP(4,$A$8:$B$18,2,FALSE),'2nd Innings'!$D$26:$N$36,2,FALSE)</f>
        <v>#N/A</v>
      </c>
      <c r="S124" s="114" t="e">
        <f>VLOOKUP(VLOOKUP(4,$A$8:$B$18,2,FALSE),'2nd Innings'!$D$26:$N$36,3,FALSE)</f>
        <v>#N/A</v>
      </c>
      <c r="T124" s="114" t="e">
        <f>VLOOKUP(VLOOKUP(4,$A$8:$B$18,2,FALSE),'2nd Innings'!$D$26:$N$36,4,FALSE)</f>
        <v>#N/A</v>
      </c>
      <c r="U124" s="114" t="e">
        <f>VLOOKUP(VLOOKUP(4,$A$8:$B$18,2,FALSE),'2nd Innings'!$D$26:$N$36,5,FALSE)</f>
        <v>#N/A</v>
      </c>
      <c r="V124" s="114" t="e">
        <f>VLOOKUP(VLOOKUP(4,$A$8:$B$18,2,FALSE),'2nd Innings'!$D$26:$N$36,6,FALSE)</f>
        <v>#N/A</v>
      </c>
      <c r="W124" s="114" t="e">
        <f>VLOOKUP(VLOOKUP(4,$A$8:$B$18,2,FALSE),'2nd Innings'!$D$26:$N$36,7,FALSE)</f>
        <v>#N/A</v>
      </c>
      <c r="X124" s="114" t="e">
        <f>VLOOKUP(VLOOKUP(4,$A$8:$B$18,2,FALSE),'2nd Innings'!$D$26:$N$36,10,FALSE)</f>
        <v>#N/A</v>
      </c>
      <c r="Y124" s="114" t="e">
        <f>VLOOKUP(VLOOKUP(4,$A$8:$B$18,2,FALSE),'2nd Innings'!$D$26:$N$36,11,FALSE)</f>
        <v>#N/A</v>
      </c>
      <c r="Z124" s="114">
        <f t="shared" si="5"/>
        <v>0</v>
      </c>
      <c r="AA124" s="114">
        <f t="shared" si="19"/>
        <v>0</v>
      </c>
      <c r="AB124" s="114">
        <f t="shared" si="20"/>
        <v>0</v>
      </c>
      <c r="AC124" s="114">
        <f t="shared" si="21"/>
        <v>0</v>
      </c>
      <c r="AD124" s="115" t="e">
        <f t="shared" si="6"/>
        <v>#DIV/0!</v>
      </c>
      <c r="AE124" s="115" t="e">
        <f t="shared" si="22"/>
        <v>#DIV/0!</v>
      </c>
      <c r="AF124" s="116" t="e">
        <f t="shared" si="23"/>
        <v>#DIV/0!</v>
      </c>
      <c r="AG124" s="117" t="e">
        <f t="shared" si="7"/>
        <v>#N/A</v>
      </c>
      <c r="AH124" s="118">
        <f t="shared" si="24"/>
        <v>0</v>
      </c>
      <c r="AI124" s="119" t="e">
        <f t="shared" si="25"/>
        <v>#DIV/0!</v>
      </c>
      <c r="AJ124" s="115" t="e">
        <f t="shared" si="26"/>
        <v>#DIV/0!</v>
      </c>
      <c r="AK124" s="115" t="e">
        <f t="shared" si="27"/>
        <v>#DIV/0!</v>
      </c>
      <c r="AL124" s="120" t="e">
        <f t="shared" si="8"/>
        <v>#N/A</v>
      </c>
      <c r="AM124" s="120" t="e">
        <f t="shared" si="31"/>
        <v>#N/A</v>
      </c>
      <c r="AN124" s="121" t="e">
        <f t="shared" si="32"/>
        <v>#N/A</v>
      </c>
      <c r="AO124" s="121" t="e">
        <f>(1-NORMDIST(AN124,$P$32,($P$32/4),TRUE))*(R124/($E$37+'2nd Innings'!$E$37))</f>
        <v>#N/A</v>
      </c>
      <c r="AP124" s="120" t="e">
        <f>(AO124/AO$143)*(200-(8*($H$37+'2nd Innings'!$H$37)))</f>
        <v>#N/A</v>
      </c>
      <c r="AQ124" s="115" t="e">
        <f t="shared" si="9"/>
        <v>#N/A</v>
      </c>
      <c r="AR124" s="114">
        <f t="shared" si="28"/>
        <v>0</v>
      </c>
      <c r="AS124" s="122">
        <f>IF(A124='2nd Innings'!$C$34,1,0)</f>
        <v>1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</row>
    <row r="125" spans="1:72">
      <c r="A125" s="144">
        <f t="shared" si="10"/>
        <v>0</v>
      </c>
      <c r="B125" s="120">
        <f t="shared" si="11"/>
        <v>5</v>
      </c>
      <c r="C125" s="120">
        <v>1</v>
      </c>
      <c r="D125" s="120">
        <f t="shared" si="12"/>
        <v>0</v>
      </c>
      <c r="E125" s="120">
        <f t="shared" si="13"/>
        <v>0</v>
      </c>
      <c r="F125" s="120">
        <f t="shared" ref="F125:G125" si="35">F12</f>
        <v>0</v>
      </c>
      <c r="G125" s="120">
        <f t="shared" si="35"/>
        <v>0</v>
      </c>
      <c r="H125" s="145">
        <f t="shared" ref="H125:J125" si="36">I12</f>
        <v>0</v>
      </c>
      <c r="I125" s="120">
        <f t="shared" si="36"/>
        <v>0</v>
      </c>
      <c r="J125" s="120">
        <f t="shared" si="36"/>
        <v>0</v>
      </c>
      <c r="K125" s="114">
        <f>SUMIF(O$8:O$18,VLOOKUP(5,A$8:B$18,2,FALSE),Q$8:Q$18)+SUMIF(P$8:P$18,VLOOKUP(5,A$8:B$18,2,FALSE),Q$8:Q$18)</f>
        <v>0</v>
      </c>
      <c r="L125" s="114">
        <f>COUNTIFS('2nd Innings'!$C$8:$C$18,"caught",'2nd Innings'!$D$8:$D$18,VLOOKUP(5,$A$8:$B$18,2,FALSE))</f>
        <v>0</v>
      </c>
      <c r="M125" s="114">
        <f>COUNTIFS('2nd Innings'!$C$8:$C$18,"Run Out",'2nd Innings'!$D$8:$D$18,VLOOKUP(5,$A$8:$B$18,2,FALSE))</f>
        <v>0</v>
      </c>
      <c r="N125" s="114">
        <f>COUNTIFS('2nd Innings'!$C$8:$C$18,"Stumped",'2nd Innings'!$D$8:$D$18,VLOOKUP(5,$A$8:$B$18,2,FALSE))</f>
        <v>0</v>
      </c>
      <c r="O125" s="114">
        <f t="shared" si="16"/>
        <v>0</v>
      </c>
      <c r="P125" s="114">
        <f t="shared" si="17"/>
        <v>0</v>
      </c>
      <c r="Q125" s="114">
        <f t="shared" si="18"/>
        <v>0</v>
      </c>
      <c r="R125" s="114" t="e">
        <f>VLOOKUP(VLOOKUP(5,$A$8:$B$18,2,FALSE),'2nd Innings'!$D$26:$N$36,2,FALSE)</f>
        <v>#N/A</v>
      </c>
      <c r="S125" s="114" t="e">
        <f>VLOOKUP(VLOOKUP(5,$A$8:$B$18,2,FALSE),'2nd Innings'!$D$26:$N$36,3,FALSE)</f>
        <v>#N/A</v>
      </c>
      <c r="T125" s="114" t="e">
        <f>VLOOKUP(VLOOKUP(5,$A$8:$B$18,2,FALSE),'2nd Innings'!$D$26:$N$36,4,FALSE)</f>
        <v>#N/A</v>
      </c>
      <c r="U125" s="114" t="e">
        <f>VLOOKUP(VLOOKUP(5,$A$8:$B$18,2,FALSE),'2nd Innings'!$D$26:$N$36,5,FALSE)</f>
        <v>#N/A</v>
      </c>
      <c r="V125" s="114" t="e">
        <f>VLOOKUP(VLOOKUP(5,$A$8:$B$18,2,FALSE),'2nd Innings'!$D$26:$N$36,6,FALSE)</f>
        <v>#N/A</v>
      </c>
      <c r="W125" s="114" t="e">
        <f>VLOOKUP(VLOOKUP(5,$A$8:$B$18,2,FALSE),'2nd Innings'!$D$26:$N$36,7,FALSE)</f>
        <v>#N/A</v>
      </c>
      <c r="X125" s="114" t="e">
        <f>VLOOKUP(VLOOKUP(5,$A$8:$B$18,2,FALSE),'2nd Innings'!$D$26:$N$36,10,FALSE)</f>
        <v>#N/A</v>
      </c>
      <c r="Y125" s="114" t="e">
        <f>VLOOKUP(VLOOKUP(5,$A$8:$B$18,2,FALSE),'2nd Innings'!$D$26:$N$36,11,FALSE)</f>
        <v>#N/A</v>
      </c>
      <c r="Z125" s="114">
        <f t="shared" si="5"/>
        <v>0</v>
      </c>
      <c r="AA125" s="114">
        <f t="shared" si="19"/>
        <v>0</v>
      </c>
      <c r="AB125" s="114">
        <f t="shared" si="20"/>
        <v>0</v>
      </c>
      <c r="AC125" s="114">
        <f t="shared" si="21"/>
        <v>0</v>
      </c>
      <c r="AD125" s="115" t="e">
        <f t="shared" si="6"/>
        <v>#DIV/0!</v>
      </c>
      <c r="AE125" s="115" t="e">
        <f t="shared" si="22"/>
        <v>#DIV/0!</v>
      </c>
      <c r="AF125" s="116" t="e">
        <f t="shared" si="23"/>
        <v>#DIV/0!</v>
      </c>
      <c r="AG125" s="117" t="e">
        <f t="shared" si="7"/>
        <v>#N/A</v>
      </c>
      <c r="AH125" s="118">
        <f t="shared" si="24"/>
        <v>0</v>
      </c>
      <c r="AI125" s="119" t="e">
        <f t="shared" si="25"/>
        <v>#DIV/0!</v>
      </c>
      <c r="AJ125" s="115" t="e">
        <f t="shared" si="26"/>
        <v>#DIV/0!</v>
      </c>
      <c r="AK125" s="115" t="e">
        <f t="shared" si="27"/>
        <v>#DIV/0!</v>
      </c>
      <c r="AL125" s="120" t="e">
        <f t="shared" si="8"/>
        <v>#N/A</v>
      </c>
      <c r="AM125" s="120" t="e">
        <f t="shared" si="31"/>
        <v>#N/A</v>
      </c>
      <c r="AN125" s="121" t="e">
        <f t="shared" si="32"/>
        <v>#N/A</v>
      </c>
      <c r="AO125" s="121" t="e">
        <f>(1-NORMDIST(AN125,$P$32,($P$32/4),TRUE))*(R125/($E$37+'2nd Innings'!$E$37))</f>
        <v>#N/A</v>
      </c>
      <c r="AP125" s="120" t="e">
        <f>(AO125/AO$143)*(200-(8*($H$37+'2nd Innings'!$H$37)))</f>
        <v>#N/A</v>
      </c>
      <c r="AQ125" s="115" t="e">
        <f t="shared" si="9"/>
        <v>#N/A</v>
      </c>
      <c r="AR125" s="114">
        <f t="shared" si="28"/>
        <v>0</v>
      </c>
      <c r="AS125" s="122">
        <f>IF(A125='2nd Innings'!$C$34,1,0)</f>
        <v>1</v>
      </c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</row>
    <row r="126" spans="1:72">
      <c r="A126" s="144">
        <f t="shared" si="10"/>
        <v>0</v>
      </c>
      <c r="B126" s="120">
        <f t="shared" si="11"/>
        <v>6</v>
      </c>
      <c r="C126" s="120">
        <v>1</v>
      </c>
      <c r="D126" s="120">
        <f t="shared" si="12"/>
        <v>0</v>
      </c>
      <c r="E126" s="120">
        <f t="shared" si="13"/>
        <v>0</v>
      </c>
      <c r="F126" s="120">
        <f t="shared" ref="F126:G126" si="37">F13</f>
        <v>0</v>
      </c>
      <c r="G126" s="120">
        <f t="shared" si="37"/>
        <v>0</v>
      </c>
      <c r="H126" s="145">
        <f t="shared" ref="H126:J126" si="38">I13</f>
        <v>0</v>
      </c>
      <c r="I126" s="120">
        <f t="shared" si="38"/>
        <v>0</v>
      </c>
      <c r="J126" s="120">
        <f t="shared" si="38"/>
        <v>0</v>
      </c>
      <c r="K126" s="114">
        <f>SUMIF(O$8:O$18,VLOOKUP(6,A$8:B$18,2,FALSE),Q$8:Q$18)+SUMIF(P$8:P$18,VLOOKUP(6,A$8:B$18,2,FALSE),Q$8:Q$18)</f>
        <v>0</v>
      </c>
      <c r="L126" s="114">
        <f>COUNTIFS('2nd Innings'!$C$8:$C$18,"caught",'2nd Innings'!$D$8:$D$18,VLOOKUP(6,$A$8:$B$18,2,FALSE))</f>
        <v>0</v>
      </c>
      <c r="M126" s="114">
        <f>COUNTIFS('2nd Innings'!$C$8:$C$18,"Run Out",'2nd Innings'!$D$8:$D$18,VLOOKUP(6,$A$8:$B$18,2,FALSE))</f>
        <v>0</v>
      </c>
      <c r="N126" s="114">
        <f>COUNTIFS('2nd Innings'!$C$8:$C$18,"Stumped",'2nd Innings'!$D$8:$D$18,VLOOKUP(6,$A$8:$B$18,2,FALSE))</f>
        <v>0</v>
      </c>
      <c r="O126" s="114">
        <f t="shared" si="16"/>
        <v>0</v>
      </c>
      <c r="P126" s="114">
        <f t="shared" si="17"/>
        <v>0</v>
      </c>
      <c r="Q126" s="114">
        <f t="shared" si="18"/>
        <v>0</v>
      </c>
      <c r="R126" s="114" t="e">
        <f>VLOOKUP(VLOOKUP(6,$A$8:$B$18,2,FALSE),'2nd Innings'!$D$26:$N$36,2,FALSE)</f>
        <v>#N/A</v>
      </c>
      <c r="S126" s="114" t="e">
        <f>VLOOKUP(VLOOKUP(6,$A$8:$B$18,2,FALSE),'2nd Innings'!$D$26:$N$36,3,FALSE)</f>
        <v>#N/A</v>
      </c>
      <c r="T126" s="114" t="e">
        <f>VLOOKUP(VLOOKUP(6,$A$8:$B$18,2,FALSE),'2nd Innings'!$D$26:$N$36,4,FALSE)</f>
        <v>#N/A</v>
      </c>
      <c r="U126" s="114" t="e">
        <f>VLOOKUP(VLOOKUP(6,$A$8:$B$18,2,FALSE),'2nd Innings'!$D$26:$N$36,5,FALSE)</f>
        <v>#N/A</v>
      </c>
      <c r="V126" s="114" t="e">
        <f>VLOOKUP(VLOOKUP(6,$A$8:$B$18,2,FALSE),'2nd Innings'!$D$26:$N$36,6,FALSE)</f>
        <v>#N/A</v>
      </c>
      <c r="W126" s="114" t="e">
        <f>VLOOKUP(VLOOKUP(6,$A$8:$B$18,2,FALSE),'2nd Innings'!$D$26:$N$36,7,FALSE)</f>
        <v>#N/A</v>
      </c>
      <c r="X126" s="114" t="e">
        <f>VLOOKUP(VLOOKUP(6,$A$8:$B$18,2,FALSE),'2nd Innings'!$D$26:$N$36,10,FALSE)</f>
        <v>#N/A</v>
      </c>
      <c r="Y126" s="114" t="e">
        <f>VLOOKUP(VLOOKUP(6,$A$8:$B$18,2,FALSE),'2nd Innings'!$D$26:$N$36,11,FALSE)</f>
        <v>#N/A</v>
      </c>
      <c r="Z126" s="114">
        <f t="shared" si="5"/>
        <v>0</v>
      </c>
      <c r="AA126" s="114">
        <f t="shared" si="19"/>
        <v>0</v>
      </c>
      <c r="AB126" s="114">
        <f t="shared" si="20"/>
        <v>0</v>
      </c>
      <c r="AC126" s="114">
        <f t="shared" si="21"/>
        <v>0</v>
      </c>
      <c r="AD126" s="115" t="e">
        <f t="shared" si="6"/>
        <v>#DIV/0!</v>
      </c>
      <c r="AE126" s="115" t="e">
        <f t="shared" si="22"/>
        <v>#DIV/0!</v>
      </c>
      <c r="AF126" s="116" t="e">
        <f t="shared" si="23"/>
        <v>#DIV/0!</v>
      </c>
      <c r="AG126" s="117" t="e">
        <f t="shared" si="7"/>
        <v>#N/A</v>
      </c>
      <c r="AH126" s="118">
        <f t="shared" si="24"/>
        <v>0</v>
      </c>
      <c r="AI126" s="119" t="e">
        <f t="shared" si="25"/>
        <v>#DIV/0!</v>
      </c>
      <c r="AJ126" s="115" t="e">
        <f t="shared" si="26"/>
        <v>#DIV/0!</v>
      </c>
      <c r="AK126" s="115" t="e">
        <f t="shared" si="27"/>
        <v>#DIV/0!</v>
      </c>
      <c r="AL126" s="120" t="e">
        <f t="shared" si="8"/>
        <v>#N/A</v>
      </c>
      <c r="AM126" s="120" t="e">
        <f t="shared" si="31"/>
        <v>#N/A</v>
      </c>
      <c r="AN126" s="121" t="e">
        <f t="shared" si="32"/>
        <v>#N/A</v>
      </c>
      <c r="AO126" s="121" t="e">
        <f>(1-NORMDIST(AN126,$P$32,($P$32/4),TRUE))*(R126/($E$37+'2nd Innings'!$E$37))</f>
        <v>#N/A</v>
      </c>
      <c r="AP126" s="120" t="e">
        <f>(AO126/AO$143)*(200-(8*($H$37+'2nd Innings'!$H$37)))</f>
        <v>#N/A</v>
      </c>
      <c r="AQ126" s="115" t="e">
        <f t="shared" si="9"/>
        <v>#N/A</v>
      </c>
      <c r="AR126" s="114">
        <f t="shared" si="28"/>
        <v>0</v>
      </c>
      <c r="AS126" s="122">
        <f>IF(A126='2nd Innings'!$C$34,1,0)</f>
        <v>1</v>
      </c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</row>
    <row r="127" spans="1:72">
      <c r="A127" s="144">
        <f t="shared" si="10"/>
        <v>0</v>
      </c>
      <c r="B127" s="120">
        <f t="shared" si="11"/>
        <v>7</v>
      </c>
      <c r="C127" s="120">
        <v>1</v>
      </c>
      <c r="D127" s="120">
        <f t="shared" si="12"/>
        <v>0</v>
      </c>
      <c r="E127" s="120">
        <f t="shared" si="13"/>
        <v>0</v>
      </c>
      <c r="F127" s="120">
        <f t="shared" ref="F127:G127" si="39">F14</f>
        <v>0</v>
      </c>
      <c r="G127" s="120">
        <f t="shared" si="39"/>
        <v>0</v>
      </c>
      <c r="H127" s="145">
        <f t="shared" ref="H127:J127" si="40">I14</f>
        <v>0</v>
      </c>
      <c r="I127" s="120">
        <f t="shared" si="40"/>
        <v>0</v>
      </c>
      <c r="J127" s="120">
        <f t="shared" si="40"/>
        <v>0</v>
      </c>
      <c r="K127" s="114">
        <f>SUMIF(O$8:O$18,VLOOKUP(7,A$8:B$18,2,FALSE),Q$8:Q$18)+SUMIF(P$8:P$18,VLOOKUP(7,A$8:B$18,2,FALSE),Q$8:Q$18)</f>
        <v>0</v>
      </c>
      <c r="L127" s="114">
        <f>COUNTIFS('2nd Innings'!$C$8:$C$18,"caught",'2nd Innings'!$D$8:$D$18,VLOOKUP(7,$A$8:$B$18,2,FALSE))</f>
        <v>0</v>
      </c>
      <c r="M127" s="114">
        <f>COUNTIFS('2nd Innings'!$C$8:$C$18,"Run Out",'2nd Innings'!$D$8:$D$18,VLOOKUP(7,$A$8:$B$18,2,FALSE))</f>
        <v>0</v>
      </c>
      <c r="N127" s="114">
        <f>COUNTIFS('2nd Innings'!$C$8:$C$18,"Stumped",'2nd Innings'!$D$8:$D$18,VLOOKUP(7,$A$8:$B$18,2,FALSE))</f>
        <v>0</v>
      </c>
      <c r="O127" s="114">
        <f t="shared" si="16"/>
        <v>0</v>
      </c>
      <c r="P127" s="114">
        <f t="shared" si="17"/>
        <v>0</v>
      </c>
      <c r="Q127" s="114">
        <f t="shared" si="18"/>
        <v>0</v>
      </c>
      <c r="R127" s="114" t="e">
        <f>VLOOKUP(VLOOKUP(7,$A$8:$B$18,2,FALSE),'2nd Innings'!$D$26:$N$36,2,FALSE)</f>
        <v>#N/A</v>
      </c>
      <c r="S127" s="114" t="e">
        <f>VLOOKUP(VLOOKUP(7,$A$8:$B$18,2,FALSE),'2nd Innings'!$D$26:$N$36,3,FALSE)</f>
        <v>#N/A</v>
      </c>
      <c r="T127" s="114" t="e">
        <f>VLOOKUP(VLOOKUP(7,$A$8:$B$18,2,FALSE),'2nd Innings'!$D$26:$N$36,4,FALSE)</f>
        <v>#N/A</v>
      </c>
      <c r="U127" s="114" t="e">
        <f>VLOOKUP(VLOOKUP(7,$A$8:$B$18,2,FALSE),'2nd Innings'!$D$26:$N$36,5,FALSE)</f>
        <v>#N/A</v>
      </c>
      <c r="V127" s="114" t="e">
        <f>VLOOKUP(VLOOKUP(7,$A$8:$B$18,2,FALSE),'2nd Innings'!$D$26:$N$36,6,FALSE)</f>
        <v>#N/A</v>
      </c>
      <c r="W127" s="114" t="e">
        <f>VLOOKUP(VLOOKUP(7,$A$8:$B$18,2,FALSE),'2nd Innings'!$D$26:$N$36,7,FALSE)</f>
        <v>#N/A</v>
      </c>
      <c r="X127" s="114" t="e">
        <f>VLOOKUP(VLOOKUP(7,$A$8:$B$18,2,FALSE),'2nd Innings'!$D$26:$N$36,10,FALSE)</f>
        <v>#N/A</v>
      </c>
      <c r="Y127" s="114" t="e">
        <f>VLOOKUP(VLOOKUP(7,$A$8:$B$18,2,FALSE),'2nd Innings'!$D$26:$N$36,11,FALSE)</f>
        <v>#N/A</v>
      </c>
      <c r="Z127" s="114">
        <f t="shared" si="5"/>
        <v>0</v>
      </c>
      <c r="AA127" s="114">
        <f t="shared" si="19"/>
        <v>0</v>
      </c>
      <c r="AB127" s="114">
        <f t="shared" si="20"/>
        <v>0</v>
      </c>
      <c r="AC127" s="114">
        <f t="shared" si="21"/>
        <v>0</v>
      </c>
      <c r="AD127" s="115" t="e">
        <f t="shared" si="6"/>
        <v>#DIV/0!</v>
      </c>
      <c r="AE127" s="115" t="e">
        <f t="shared" si="22"/>
        <v>#DIV/0!</v>
      </c>
      <c r="AF127" s="116" t="e">
        <f t="shared" si="23"/>
        <v>#DIV/0!</v>
      </c>
      <c r="AG127" s="117" t="e">
        <f t="shared" si="7"/>
        <v>#N/A</v>
      </c>
      <c r="AH127" s="118">
        <f t="shared" si="24"/>
        <v>0</v>
      </c>
      <c r="AI127" s="119" t="e">
        <f t="shared" si="25"/>
        <v>#DIV/0!</v>
      </c>
      <c r="AJ127" s="115" t="e">
        <f t="shared" ref="AJ127:AJ131" si="41">100*F127/G127</f>
        <v>#DIV/0!</v>
      </c>
      <c r="AK127" s="115" t="e">
        <f t="shared" ref="AK127:AK131" si="42">$P$26-(($P$26-AJ127)/2)</f>
        <v>#DIV/0!</v>
      </c>
      <c r="AL127" s="120" t="e">
        <f t="shared" si="8"/>
        <v>#N/A</v>
      </c>
      <c r="AM127" s="120" t="e">
        <f t="shared" si="31"/>
        <v>#N/A</v>
      </c>
      <c r="AN127" s="121" t="e">
        <f t="shared" si="32"/>
        <v>#N/A</v>
      </c>
      <c r="AO127" s="121" t="e">
        <f>(1-NORMDIST(AN127,$P$32,($P$32/4),TRUE))*(R127/($E$37+'2nd Innings'!$E$37))</f>
        <v>#N/A</v>
      </c>
      <c r="AP127" s="120" t="e">
        <f>(AO127/AO$143)*(200-(8*($H$37+'2nd Innings'!$H$37)))</f>
        <v>#N/A</v>
      </c>
      <c r="AQ127" s="115" t="e">
        <f t="shared" si="9"/>
        <v>#N/A</v>
      </c>
      <c r="AR127" s="114">
        <f t="shared" si="28"/>
        <v>0</v>
      </c>
      <c r="AS127" s="122">
        <f>IF(A127='2nd Innings'!$C$34,1,0)</f>
        <v>1</v>
      </c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</row>
    <row r="128" spans="1:72">
      <c r="A128" s="144">
        <f t="shared" si="10"/>
        <v>0</v>
      </c>
      <c r="B128" s="120">
        <f t="shared" si="11"/>
        <v>8</v>
      </c>
      <c r="C128" s="120">
        <v>1</v>
      </c>
      <c r="D128" s="120">
        <f t="shared" si="12"/>
        <v>0</v>
      </c>
      <c r="E128" s="120">
        <f t="shared" si="13"/>
        <v>0</v>
      </c>
      <c r="F128" s="120">
        <f t="shared" ref="F128:G128" si="43">F15</f>
        <v>0</v>
      </c>
      <c r="G128" s="120">
        <f t="shared" si="43"/>
        <v>0</v>
      </c>
      <c r="H128" s="145">
        <f t="shared" ref="H128:J128" si="44">I15</f>
        <v>0</v>
      </c>
      <c r="I128" s="120">
        <f t="shared" si="44"/>
        <v>0</v>
      </c>
      <c r="J128" s="120">
        <f t="shared" si="44"/>
        <v>0</v>
      </c>
      <c r="K128" s="114">
        <f>SUMIF(O$8:O$18,VLOOKUP(8,A$8:B$18,2,FALSE),Q$8:Q$18)+SUMIF(P$8:P$18,VLOOKUP(8,A$8:B$18,2,FALSE),Q$8:Q$18)</f>
        <v>0</v>
      </c>
      <c r="L128" s="114">
        <f>COUNTIFS('2nd Innings'!$C$8:$C$18,"caught",'2nd Innings'!$D$8:$D$18,VLOOKUP(8,$A$8:$B$18,2,FALSE))</f>
        <v>0</v>
      </c>
      <c r="M128" s="114">
        <f>COUNTIFS('2nd Innings'!$C$8:$C$18,"Run Out",'2nd Innings'!$D$8:$D$18,VLOOKUP(8,$A$8:$B$18,2,FALSE))</f>
        <v>0</v>
      </c>
      <c r="N128" s="114">
        <f>COUNTIFS('2nd Innings'!$C$8:$C$18,"Stumped",'2nd Innings'!$D$8:$D$18,VLOOKUP(8,$A$8:$B$18,2,FALSE))</f>
        <v>0</v>
      </c>
      <c r="O128" s="114">
        <f t="shared" si="16"/>
        <v>0</v>
      </c>
      <c r="P128" s="114">
        <f t="shared" si="17"/>
        <v>0</v>
      </c>
      <c r="Q128" s="114">
        <f t="shared" si="18"/>
        <v>0</v>
      </c>
      <c r="R128" s="114" t="e">
        <f>VLOOKUP(VLOOKUP(8,$A$8:$B$18,2,FALSE),'2nd Innings'!$D$26:$N$36,2,FALSE)</f>
        <v>#N/A</v>
      </c>
      <c r="S128" s="114" t="e">
        <f>VLOOKUP(VLOOKUP(8,$A$8:$B$18,2,FALSE),'2nd Innings'!$D$26:$N$36,3,FALSE)</f>
        <v>#N/A</v>
      </c>
      <c r="T128" s="114" t="e">
        <f>VLOOKUP(VLOOKUP(8,$A$8:$B$18,2,FALSE),'2nd Innings'!$D$26:$N$36,4,FALSE)</f>
        <v>#N/A</v>
      </c>
      <c r="U128" s="114" t="e">
        <f>VLOOKUP(VLOOKUP(8,$A$8:$B$18,2,FALSE),'2nd Innings'!$D$26:$N$36,5,FALSE)</f>
        <v>#N/A</v>
      </c>
      <c r="V128" s="114" t="e">
        <f>VLOOKUP(VLOOKUP(8,$A$8:$B$18,2,FALSE),'2nd Innings'!$D$26:$N$36,6,FALSE)</f>
        <v>#N/A</v>
      </c>
      <c r="W128" s="114" t="e">
        <f>VLOOKUP(VLOOKUP(8,$A$8:$B$18,2,FALSE),'2nd Innings'!$D$26:$N$36,7,FALSE)</f>
        <v>#N/A</v>
      </c>
      <c r="X128" s="114" t="e">
        <f>VLOOKUP(VLOOKUP(8,$A$8:$B$18,2,FALSE),'2nd Innings'!$D$26:$N$36,10,FALSE)</f>
        <v>#N/A</v>
      </c>
      <c r="Y128" s="114" t="e">
        <f>VLOOKUP(VLOOKUP(8,$A$8:$B$18,2,FALSE),'2nd Innings'!$D$26:$N$36,11,FALSE)</f>
        <v>#N/A</v>
      </c>
      <c r="Z128" s="114">
        <f t="shared" si="5"/>
        <v>0</v>
      </c>
      <c r="AA128" s="114">
        <f t="shared" si="19"/>
        <v>0</v>
      </c>
      <c r="AB128" s="114">
        <f t="shared" si="20"/>
        <v>0</v>
      </c>
      <c r="AC128" s="114">
        <f t="shared" si="21"/>
        <v>0</v>
      </c>
      <c r="AD128" s="115" t="e">
        <f t="shared" si="6"/>
        <v>#DIV/0!</v>
      </c>
      <c r="AE128" s="115" t="e">
        <f t="shared" si="22"/>
        <v>#DIV/0!</v>
      </c>
      <c r="AF128" s="116" t="e">
        <f t="shared" si="23"/>
        <v>#DIV/0!</v>
      </c>
      <c r="AG128" s="117" t="e">
        <f t="shared" si="7"/>
        <v>#N/A</v>
      </c>
      <c r="AH128" s="118">
        <f t="shared" si="24"/>
        <v>0</v>
      </c>
      <c r="AI128" s="119" t="e">
        <f t="shared" si="25"/>
        <v>#DIV/0!</v>
      </c>
      <c r="AJ128" s="115" t="e">
        <f t="shared" si="41"/>
        <v>#DIV/0!</v>
      </c>
      <c r="AK128" s="115" t="e">
        <f t="shared" si="42"/>
        <v>#DIV/0!</v>
      </c>
      <c r="AL128" s="120" t="e">
        <f t="shared" si="8"/>
        <v>#N/A</v>
      </c>
      <c r="AM128" s="120" t="e">
        <f t="shared" si="31"/>
        <v>#N/A</v>
      </c>
      <c r="AN128" s="121" t="e">
        <f t="shared" si="32"/>
        <v>#N/A</v>
      </c>
      <c r="AO128" s="121" t="e">
        <f>(1-NORMDIST(AN128,$P$32,($P$32/4),TRUE))*(R128/($E$37+'2nd Innings'!$E$37))</f>
        <v>#N/A</v>
      </c>
      <c r="AP128" s="120" t="e">
        <f>(AO128/AO$143)*(200-(8*($H$37+'2nd Innings'!$H$37)))</f>
        <v>#N/A</v>
      </c>
      <c r="AQ128" s="115" t="e">
        <f t="shared" si="9"/>
        <v>#N/A</v>
      </c>
      <c r="AR128" s="114">
        <f t="shared" si="28"/>
        <v>0</v>
      </c>
      <c r="AS128" s="122">
        <f>IF(A128='2nd Innings'!$C$34,1,0)</f>
        <v>1</v>
      </c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</row>
    <row r="129" spans="1:72">
      <c r="A129" s="144">
        <f t="shared" si="10"/>
        <v>0</v>
      </c>
      <c r="B129" s="120">
        <f t="shared" si="11"/>
        <v>9</v>
      </c>
      <c r="C129" s="120">
        <v>1</v>
      </c>
      <c r="D129" s="120">
        <f t="shared" si="12"/>
        <v>0</v>
      </c>
      <c r="E129" s="120">
        <f t="shared" si="13"/>
        <v>0</v>
      </c>
      <c r="F129" s="120">
        <f t="shared" ref="F129:G129" si="45">F16</f>
        <v>0</v>
      </c>
      <c r="G129" s="120">
        <f t="shared" si="45"/>
        <v>0</v>
      </c>
      <c r="H129" s="145">
        <f t="shared" ref="H129:J129" si="46">I16</f>
        <v>0</v>
      </c>
      <c r="I129" s="120">
        <f t="shared" si="46"/>
        <v>0</v>
      </c>
      <c r="J129" s="120">
        <f t="shared" si="46"/>
        <v>0</v>
      </c>
      <c r="K129" s="114">
        <f>SUMIF(O$8:O$18,VLOOKUP(9,A$8:B$18,2,FALSE),Q$8:Q$18)+SUMIF(P$8:P$18,VLOOKUP(9,A$8:B$18,2,FALSE),Q$8:Q$18)</f>
        <v>0</v>
      </c>
      <c r="L129" s="114">
        <f>COUNTIFS('2nd Innings'!$C$8:$C$18,"caught",'2nd Innings'!$D$8:$D$18,VLOOKUP(9,$A$8:$B$18,2,FALSE))</f>
        <v>0</v>
      </c>
      <c r="M129" s="114">
        <f>COUNTIFS('2nd Innings'!$C$8:$C$18,"Run Out",'2nd Innings'!$D$8:$D$18,VLOOKUP(9,$A$8:$B$18,2,FALSE))</f>
        <v>0</v>
      </c>
      <c r="N129" s="114">
        <f>COUNTIFS('2nd Innings'!$C$8:$C$18,"Stumped",'2nd Innings'!$D$8:$D$18,VLOOKUP(9,$A$8:$B$18,2,FALSE))</f>
        <v>0</v>
      </c>
      <c r="O129" s="114">
        <f t="shared" si="16"/>
        <v>0</v>
      </c>
      <c r="P129" s="114">
        <f t="shared" si="17"/>
        <v>0</v>
      </c>
      <c r="Q129" s="114">
        <f t="shared" si="18"/>
        <v>0</v>
      </c>
      <c r="R129" s="114" t="e">
        <f>VLOOKUP(VLOOKUP(9,$A$8:$B$18,2,FALSE),'2nd Innings'!$D$26:$N$36,2,FALSE)</f>
        <v>#N/A</v>
      </c>
      <c r="S129" s="114" t="e">
        <f>VLOOKUP(VLOOKUP(9,$A$8:$B$18,2,FALSE),'2nd Innings'!$D$26:$N$36,3,FALSE)</f>
        <v>#N/A</v>
      </c>
      <c r="T129" s="114" t="e">
        <f>VLOOKUP(VLOOKUP(9,$A$8:$B$18,2,FALSE),'2nd Innings'!$D$26:$N$36,4,FALSE)</f>
        <v>#N/A</v>
      </c>
      <c r="U129" s="114" t="e">
        <f>VLOOKUP(VLOOKUP(9,$A$8:$B$18,2,FALSE),'2nd Innings'!$D$26:$N$36,5,FALSE)</f>
        <v>#N/A</v>
      </c>
      <c r="V129" s="114" t="e">
        <f>VLOOKUP(VLOOKUP(9,$A$8:$B$18,2,FALSE),'2nd Innings'!$D$26:$N$36,6,FALSE)</f>
        <v>#N/A</v>
      </c>
      <c r="W129" s="114" t="e">
        <f>VLOOKUP(VLOOKUP(9,$A$8:$B$18,2,FALSE),'2nd Innings'!$D$26:$N$36,7,FALSE)</f>
        <v>#N/A</v>
      </c>
      <c r="X129" s="114" t="e">
        <f>VLOOKUP(VLOOKUP(9,$A$8:$B$18,2,FALSE),'2nd Innings'!$D$26:$N$36,10,FALSE)</f>
        <v>#N/A</v>
      </c>
      <c r="Y129" s="114" t="e">
        <f>VLOOKUP(VLOOKUP(9,$A$8:$B$18,2,FALSE),'2nd Innings'!$D$26:$N$36,11,FALSE)</f>
        <v>#N/A</v>
      </c>
      <c r="Z129" s="114">
        <f t="shared" si="5"/>
        <v>0</v>
      </c>
      <c r="AA129" s="114">
        <f t="shared" si="19"/>
        <v>0</v>
      </c>
      <c r="AB129" s="114">
        <f t="shared" si="20"/>
        <v>0</v>
      </c>
      <c r="AC129" s="114">
        <f t="shared" si="21"/>
        <v>0</v>
      </c>
      <c r="AD129" s="115" t="e">
        <f t="shared" si="6"/>
        <v>#DIV/0!</v>
      </c>
      <c r="AE129" s="115" t="e">
        <f t="shared" si="22"/>
        <v>#DIV/0!</v>
      </c>
      <c r="AF129" s="116" t="e">
        <f t="shared" si="23"/>
        <v>#DIV/0!</v>
      </c>
      <c r="AG129" s="117" t="e">
        <f t="shared" si="7"/>
        <v>#N/A</v>
      </c>
      <c r="AH129" s="118">
        <f t="shared" si="24"/>
        <v>0</v>
      </c>
      <c r="AI129" s="119" t="e">
        <f t="shared" si="25"/>
        <v>#DIV/0!</v>
      </c>
      <c r="AJ129" s="115" t="e">
        <f t="shared" si="41"/>
        <v>#DIV/0!</v>
      </c>
      <c r="AK129" s="115" t="e">
        <f t="shared" si="42"/>
        <v>#DIV/0!</v>
      </c>
      <c r="AL129" s="120" t="e">
        <f t="shared" si="8"/>
        <v>#N/A</v>
      </c>
      <c r="AM129" s="120" t="e">
        <f t="shared" si="31"/>
        <v>#N/A</v>
      </c>
      <c r="AN129" s="121" t="e">
        <f t="shared" si="32"/>
        <v>#N/A</v>
      </c>
      <c r="AO129" s="121" t="e">
        <f>(1-NORMDIST(AN129,$P$32,($P$32/4),TRUE))*(R129/($E$37+'2nd Innings'!$E$37))</f>
        <v>#N/A</v>
      </c>
      <c r="AP129" s="120" t="e">
        <f>(AO129/AO$143)*(200-(8*($H$37+'2nd Innings'!$H$37)))</f>
        <v>#N/A</v>
      </c>
      <c r="AQ129" s="115" t="e">
        <f t="shared" si="9"/>
        <v>#N/A</v>
      </c>
      <c r="AR129" s="114">
        <f t="shared" si="28"/>
        <v>0</v>
      </c>
      <c r="AS129" s="122">
        <f>IF(A129='2nd Innings'!$C$34,1,0)</f>
        <v>1</v>
      </c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</row>
    <row r="130" spans="1:72">
      <c r="A130" s="144">
        <f t="shared" si="10"/>
        <v>0</v>
      </c>
      <c r="B130" s="120">
        <f t="shared" si="11"/>
        <v>10</v>
      </c>
      <c r="C130" s="120">
        <v>1</v>
      </c>
      <c r="D130" s="120">
        <f t="shared" si="12"/>
        <v>0</v>
      </c>
      <c r="E130" s="120">
        <f t="shared" si="13"/>
        <v>0</v>
      </c>
      <c r="F130" s="120">
        <f t="shared" ref="F130:G130" si="47">F17</f>
        <v>0</v>
      </c>
      <c r="G130" s="120">
        <f t="shared" si="47"/>
        <v>0</v>
      </c>
      <c r="H130" s="145">
        <f t="shared" ref="H130:J130" si="48">I17</f>
        <v>0</v>
      </c>
      <c r="I130" s="120">
        <f t="shared" si="48"/>
        <v>0</v>
      </c>
      <c r="J130" s="120">
        <f t="shared" si="48"/>
        <v>0</v>
      </c>
      <c r="K130" s="114">
        <f>SUMIF(O$8:O$18,VLOOKUP(10,A$8:B$18,2,FALSE),Q$8:Q$18)+SUMIF(P$8:P$18,VLOOKUP(10,A$8:B$18,2,FALSE),Q$8:Q$18)</f>
        <v>0</v>
      </c>
      <c r="L130" s="114">
        <f>COUNTIFS('2nd Innings'!$C$8:$C$18,"caught",'2nd Innings'!$D$8:$D$18,VLOOKUP(10,$A$8:$B$18,2,FALSE))</f>
        <v>0</v>
      </c>
      <c r="M130" s="114">
        <f>COUNTIFS('2nd Innings'!$C$8:$C$18,"Run Out",'2nd Innings'!$D$8:$D$18,VLOOKUP(10,$A$8:$B$18,2,FALSE))</f>
        <v>0</v>
      </c>
      <c r="N130" s="114">
        <f>COUNTIFS('2nd Innings'!$C$8:$C$18,"Stumped",'2nd Innings'!$D$8:$D$18,VLOOKUP(10,$A$8:$B$18,2,FALSE))</f>
        <v>0</v>
      </c>
      <c r="O130" s="114">
        <f t="shared" si="16"/>
        <v>0</v>
      </c>
      <c r="P130" s="114">
        <f t="shared" si="17"/>
        <v>0</v>
      </c>
      <c r="Q130" s="114">
        <f t="shared" si="18"/>
        <v>0</v>
      </c>
      <c r="R130" s="114" t="e">
        <f>VLOOKUP(VLOOKUP(10,$A$8:$B$18,2,FALSE),'2nd Innings'!$D$26:$N$36,2,FALSE)</f>
        <v>#N/A</v>
      </c>
      <c r="S130" s="114" t="e">
        <f>VLOOKUP(VLOOKUP(10,$A$8:$B$18,2,FALSE),'2nd Innings'!$D$26:$N$36,3,FALSE)</f>
        <v>#N/A</v>
      </c>
      <c r="T130" s="114" t="e">
        <f>VLOOKUP(VLOOKUP(10,$A$8:$B$18,2,FALSE),'2nd Innings'!$D$26:$N$36,4,FALSE)</f>
        <v>#N/A</v>
      </c>
      <c r="U130" s="114" t="e">
        <f>VLOOKUP(VLOOKUP(10,$A$8:$B$18,2,FALSE),'2nd Innings'!$D$26:$N$36,5,FALSE)</f>
        <v>#N/A</v>
      </c>
      <c r="V130" s="114" t="e">
        <f>VLOOKUP(VLOOKUP(10,$A$8:$B$18,2,FALSE),'2nd Innings'!$D$26:$N$36,6,FALSE)</f>
        <v>#N/A</v>
      </c>
      <c r="W130" s="114" t="e">
        <f>VLOOKUP(VLOOKUP(10,$A$8:$B$18,2,FALSE),'2nd Innings'!$D$26:$N$36,7,FALSE)</f>
        <v>#N/A</v>
      </c>
      <c r="X130" s="114" t="e">
        <f>VLOOKUP(VLOOKUP(10,$A$8:$B$18,2,FALSE),'2nd Innings'!$D$26:$N$36,10,FALSE)</f>
        <v>#N/A</v>
      </c>
      <c r="Y130" s="114" t="e">
        <f>VLOOKUP(VLOOKUP(10,$A$8:$B$18,2,FALSE),'2nd Innings'!$D$26:$N$36,11,FALSE)</f>
        <v>#N/A</v>
      </c>
      <c r="Z130" s="114">
        <f t="shared" si="5"/>
        <v>0</v>
      </c>
      <c r="AA130" s="114">
        <f t="shared" si="19"/>
        <v>0</v>
      </c>
      <c r="AB130" s="114">
        <f t="shared" si="20"/>
        <v>0</v>
      </c>
      <c r="AC130" s="114">
        <f t="shared" si="21"/>
        <v>0</v>
      </c>
      <c r="AD130" s="115" t="e">
        <f t="shared" si="6"/>
        <v>#DIV/0!</v>
      </c>
      <c r="AE130" s="115" t="e">
        <f t="shared" si="22"/>
        <v>#DIV/0!</v>
      </c>
      <c r="AF130" s="116" t="e">
        <f t="shared" si="23"/>
        <v>#DIV/0!</v>
      </c>
      <c r="AG130" s="117" t="e">
        <f t="shared" si="7"/>
        <v>#N/A</v>
      </c>
      <c r="AH130" s="118">
        <f t="shared" si="24"/>
        <v>0</v>
      </c>
      <c r="AI130" s="119" t="e">
        <f t="shared" si="25"/>
        <v>#DIV/0!</v>
      </c>
      <c r="AJ130" s="115" t="e">
        <f t="shared" si="41"/>
        <v>#DIV/0!</v>
      </c>
      <c r="AK130" s="115" t="e">
        <f t="shared" si="42"/>
        <v>#DIV/0!</v>
      </c>
      <c r="AL130" s="120" t="e">
        <f t="shared" si="8"/>
        <v>#N/A</v>
      </c>
      <c r="AM130" s="120" t="e">
        <f t="shared" si="31"/>
        <v>#N/A</v>
      </c>
      <c r="AN130" s="121" t="e">
        <f t="shared" si="32"/>
        <v>#N/A</v>
      </c>
      <c r="AO130" s="121" t="e">
        <f>(1-NORMDIST(AN130,$P$32,($P$32/4),TRUE))*(R130/($E$37+'2nd Innings'!$E$37))</f>
        <v>#N/A</v>
      </c>
      <c r="AP130" s="120" t="e">
        <f>(AO130/AO$143)*(200-(8*($H$37+'2nd Innings'!$H$37)))</f>
        <v>#N/A</v>
      </c>
      <c r="AQ130" s="115" t="e">
        <f t="shared" si="9"/>
        <v>#N/A</v>
      </c>
      <c r="AR130" s="114">
        <f t="shared" si="28"/>
        <v>0</v>
      </c>
      <c r="AS130" s="122">
        <f>IF(A130='2nd Innings'!$C$34,1,0)</f>
        <v>1</v>
      </c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</row>
    <row r="131" spans="1:72">
      <c r="A131" s="144">
        <f t="shared" si="10"/>
        <v>0</v>
      </c>
      <c r="B131" s="120">
        <f t="shared" si="11"/>
        <v>11</v>
      </c>
      <c r="C131" s="120">
        <v>1</v>
      </c>
      <c r="D131" s="120">
        <f t="shared" si="12"/>
        <v>0</v>
      </c>
      <c r="E131" s="120">
        <f t="shared" si="13"/>
        <v>0</v>
      </c>
      <c r="F131" s="120">
        <f t="shared" ref="F131:G131" si="49">F18</f>
        <v>0</v>
      </c>
      <c r="G131" s="120">
        <f t="shared" si="49"/>
        <v>0</v>
      </c>
      <c r="H131" s="145">
        <f t="shared" ref="H131:J131" si="50">I18</f>
        <v>0</v>
      </c>
      <c r="I131" s="120">
        <f t="shared" si="50"/>
        <v>0</v>
      </c>
      <c r="J131" s="120">
        <f t="shared" si="50"/>
        <v>0</v>
      </c>
      <c r="K131" s="114">
        <f>SUMIF(O$8:O$18,VLOOKUP(11,A$8:B$18,2,FALSE),Q$8:Q$18)+SUMIF(P$8:P$18,VLOOKUP(11,A$8:B$18,2,FALSE),Q$8:Q$18)</f>
        <v>0</v>
      </c>
      <c r="L131" s="114">
        <f>COUNTIFS('2nd Innings'!$C$8:$C$18,"caught",'2nd Innings'!$D$8:$D$18,VLOOKUP(11,$A$8:$B$18,2,FALSE))</f>
        <v>0</v>
      </c>
      <c r="M131" s="114">
        <f>COUNTIFS('2nd Innings'!$C$8:$C$18,"Run Out",'2nd Innings'!$D$8:$D$18,VLOOKUP(11,$A$8:$B$18,2,FALSE))</f>
        <v>0</v>
      </c>
      <c r="N131" s="114">
        <f>COUNTIFS('2nd Innings'!$C$8:$C$18,"Stumped",'2nd Innings'!$D$8:$D$18,VLOOKUP(11,$A$8:$B$18,2,FALSE))</f>
        <v>0</v>
      </c>
      <c r="O131" s="114">
        <f t="shared" si="16"/>
        <v>0</v>
      </c>
      <c r="P131" s="114">
        <f t="shared" si="17"/>
        <v>0</v>
      </c>
      <c r="Q131" s="114">
        <f t="shared" si="18"/>
        <v>0</v>
      </c>
      <c r="R131" s="114" t="e">
        <f>VLOOKUP(VLOOKUP(11,$A$8:$B$18,2,FALSE),'2nd Innings'!$D$26:$N$36,2,FALSE)</f>
        <v>#N/A</v>
      </c>
      <c r="S131" s="114" t="e">
        <f>VLOOKUP(VLOOKUP(11,$A$8:$B$18,2,FALSE),'2nd Innings'!$D$26:$N$36,3,FALSE)</f>
        <v>#N/A</v>
      </c>
      <c r="T131" s="114" t="e">
        <f>VLOOKUP(VLOOKUP(11,$A$8:$B$18,2,FALSE),'2nd Innings'!$D$26:$N$36,4,FALSE)</f>
        <v>#N/A</v>
      </c>
      <c r="U131" s="114" t="e">
        <f>VLOOKUP(VLOOKUP(11,$A$8:$B$18,2,FALSE),'2nd Innings'!$D$26:$N$36,5,FALSE)</f>
        <v>#N/A</v>
      </c>
      <c r="V131" s="114" t="e">
        <f>VLOOKUP(VLOOKUP(11,$A$8:$B$18,2,FALSE),'2nd Innings'!$D$26:$N$36,6,FALSE)</f>
        <v>#N/A</v>
      </c>
      <c r="W131" s="114" t="e">
        <f>VLOOKUP(VLOOKUP(11,$A$8:$B$18,2,FALSE),'2nd Innings'!$D$26:$N$36,7,FALSE)</f>
        <v>#N/A</v>
      </c>
      <c r="X131" s="114" t="e">
        <f>VLOOKUP(VLOOKUP(11,$A$8:$B$18,2,FALSE),'2nd Innings'!$D$26:$N$36,10,FALSE)</f>
        <v>#N/A</v>
      </c>
      <c r="Y131" s="114" t="e">
        <f>VLOOKUP(VLOOKUP(11,$A$8:$B$18,2,FALSE),'2nd Innings'!$D$26:$N$36,11,FALSE)</f>
        <v>#N/A</v>
      </c>
      <c r="Z131" s="114">
        <f t="shared" si="5"/>
        <v>0</v>
      </c>
      <c r="AA131" s="114">
        <f t="shared" si="19"/>
        <v>0</v>
      </c>
      <c r="AB131" s="114">
        <f t="shared" si="20"/>
        <v>0</v>
      </c>
      <c r="AC131" s="114">
        <f t="shared" si="21"/>
        <v>0</v>
      </c>
      <c r="AD131" s="115" t="e">
        <f t="shared" si="6"/>
        <v>#DIV/0!</v>
      </c>
      <c r="AE131" s="115" t="e">
        <f t="shared" si="22"/>
        <v>#DIV/0!</v>
      </c>
      <c r="AF131" s="116" t="e">
        <f t="shared" si="23"/>
        <v>#DIV/0!</v>
      </c>
      <c r="AG131" s="117" t="e">
        <f t="shared" si="7"/>
        <v>#N/A</v>
      </c>
      <c r="AH131" s="118">
        <f t="shared" si="24"/>
        <v>0</v>
      </c>
      <c r="AI131" s="119" t="e">
        <f t="shared" si="25"/>
        <v>#DIV/0!</v>
      </c>
      <c r="AJ131" s="115" t="e">
        <f t="shared" si="41"/>
        <v>#DIV/0!</v>
      </c>
      <c r="AK131" s="115" t="e">
        <f t="shared" si="42"/>
        <v>#DIV/0!</v>
      </c>
      <c r="AL131" s="120" t="e">
        <f t="shared" si="8"/>
        <v>#N/A</v>
      </c>
      <c r="AM131" s="120" t="e">
        <f t="shared" si="31"/>
        <v>#N/A</v>
      </c>
      <c r="AN131" s="121" t="e">
        <f t="shared" si="32"/>
        <v>#N/A</v>
      </c>
      <c r="AO131" s="121" t="e">
        <f>(1-NORMDIST(AN131,$P$32,($P$32/4),TRUE))*(R131/($E$37+'2nd Innings'!$E$37))</f>
        <v>#N/A</v>
      </c>
      <c r="AP131" s="120" t="e">
        <f>(AO131/AO$143)*(200-(8*($H$37+'2nd Innings'!$H$37)))</f>
        <v>#N/A</v>
      </c>
      <c r="AQ131" s="115" t="e">
        <f t="shared" si="9"/>
        <v>#N/A</v>
      </c>
      <c r="AR131" s="114">
        <f t="shared" si="28"/>
        <v>0</v>
      </c>
      <c r="AS131" s="122">
        <f>IF(A131='2nd Innings'!$C$34,1,0)</f>
        <v>1</v>
      </c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</row>
    <row r="132" spans="1:72">
      <c r="A132" s="144">
        <f>'2nd Innings'!B8</f>
        <v>0</v>
      </c>
      <c r="B132" s="120">
        <f>'2nd Innings'!A8</f>
        <v>1</v>
      </c>
      <c r="C132" s="120">
        <v>1</v>
      </c>
      <c r="D132" s="120">
        <f>1-COUNTBLANK('2nd Innings'!C8)</f>
        <v>0</v>
      </c>
      <c r="E132" s="120">
        <f>COUNTIF('2nd Innings'!C8,"not out")</f>
        <v>0</v>
      </c>
      <c r="F132" s="120">
        <f>'2nd Innings'!F8</f>
        <v>0</v>
      </c>
      <c r="G132" s="120">
        <f>'2nd Innings'!G8</f>
        <v>0</v>
      </c>
      <c r="H132" s="145">
        <f>'2nd Innings'!I8</f>
        <v>0</v>
      </c>
      <c r="I132" s="120">
        <f>'2nd Innings'!J8</f>
        <v>0</v>
      </c>
      <c r="J132" s="120">
        <f>'2nd Innings'!K8</f>
        <v>0</v>
      </c>
      <c r="K132" s="114">
        <f>SUMIF('2nd Innings'!O8:O18,VLOOKUP(1,'2nd Innings'!A$8:B$18,2,FALSE),'2nd Innings'!Q$8:Q$18)+SUMIF('2nd Innings'!P$8:P$18,VLOOKUP(1,'2nd Innings'!A$8:B$18,2,FALSE),'2nd Innings'!Q$8:Q$18)</f>
        <v>0</v>
      </c>
      <c r="L132" s="114">
        <f>COUNTIFS($C$8:$C$18,"caught",$D$8:$D$18,VLOOKUP(1,'2nd Innings'!$A$8:$B$18,2,FALSE))</f>
        <v>0</v>
      </c>
      <c r="M132" s="114">
        <f>COUNTIFS($C$8:$C$18,"Run Out",$D$8:$D$18,VLOOKUP(1,'2nd Innings'!$A$8:$B$18,2,FALSE))</f>
        <v>0</v>
      </c>
      <c r="N132" s="114">
        <f>COUNTIFS($C$8:$C$18,"Stumped",$D$8:$D$18,VLOOKUP(1,'2nd Innings'!$A$8:$B$18,2,FALSE))</f>
        <v>0</v>
      </c>
      <c r="O132" s="114">
        <f t="shared" si="16"/>
        <v>0</v>
      </c>
      <c r="P132" s="114">
        <f t="shared" si="17"/>
        <v>0</v>
      </c>
      <c r="Q132" s="114">
        <f t="shared" si="18"/>
        <v>0</v>
      </c>
      <c r="R132" s="114" t="e">
        <f>VLOOKUP(VLOOKUP(1,'2nd Innings'!$A$8:$B$18,2,FALSE),$D$26:$N$36,2,FALSE)</f>
        <v>#N/A</v>
      </c>
      <c r="S132" s="114" t="e">
        <f>VLOOKUP(VLOOKUP(1,'2nd Innings'!$A$8:$B$18,2,FALSE),$D$26:$N$36,3,FALSE)</f>
        <v>#N/A</v>
      </c>
      <c r="T132" s="114" t="e">
        <f>VLOOKUP(VLOOKUP(1,'2nd Innings'!$A$8:$B$18,2,FALSE),$D$26:$N$36,4,FALSE)</f>
        <v>#N/A</v>
      </c>
      <c r="U132" s="114" t="e">
        <f>VLOOKUP(VLOOKUP(1,'2nd Innings'!$A$8:$B$18,2,FALSE),$D$26:$N$36,5,FALSE)</f>
        <v>#N/A</v>
      </c>
      <c r="V132" s="114" t="e">
        <f>VLOOKUP(VLOOKUP(1,'2nd Innings'!$A$8:$B$18,2,FALSE),$D$26:$N$36,6,FALSE)</f>
        <v>#N/A</v>
      </c>
      <c r="W132" s="114" t="e">
        <f>VLOOKUP(VLOOKUP(1,'2nd Innings'!$A$8:$B$18,2,FALSE),$D$26:$N$36,7,FALSE)</f>
        <v>#N/A</v>
      </c>
      <c r="X132" s="114" t="e">
        <f>VLOOKUP(VLOOKUP(1,'2nd Innings'!$A$8:$B$18,2,FALSE),$D$26:$N$36,10,FALSE)</f>
        <v>#N/A</v>
      </c>
      <c r="Y132" s="114" t="e">
        <f>VLOOKUP(VLOOKUP(1,'2nd Innings'!$A$8:$B$18,2,FALSE),$D$26:$N$36,11,FALSE)</f>
        <v>#N/A</v>
      </c>
      <c r="Z132" s="114">
        <f t="shared" si="5"/>
        <v>0</v>
      </c>
      <c r="AA132" s="114">
        <f t="shared" si="19"/>
        <v>0</v>
      </c>
      <c r="AB132" s="114">
        <f t="shared" si="20"/>
        <v>0</v>
      </c>
      <c r="AC132" s="114">
        <f t="shared" si="21"/>
        <v>0</v>
      </c>
      <c r="AD132" s="115" t="e">
        <f t="shared" si="6"/>
        <v>#DIV/0!</v>
      </c>
      <c r="AE132" s="115" t="e">
        <f t="shared" si="22"/>
        <v>#DIV/0!</v>
      </c>
      <c r="AF132" s="116" t="e">
        <f t="shared" si="23"/>
        <v>#DIV/0!</v>
      </c>
      <c r="AG132" s="117" t="e">
        <f t="shared" si="7"/>
        <v>#N/A</v>
      </c>
      <c r="AH132" s="118">
        <f t="shared" si="24"/>
        <v>0</v>
      </c>
      <c r="AI132" s="119" t="e">
        <f t="shared" si="25"/>
        <v>#DIV/0!</v>
      </c>
      <c r="AJ132" s="115" t="e">
        <f t="shared" si="26"/>
        <v>#DIV/0!</v>
      </c>
      <c r="AK132" s="115" t="e">
        <f t="shared" si="27"/>
        <v>#DIV/0!</v>
      </c>
      <c r="AL132" s="120" t="e">
        <f t="shared" si="8"/>
        <v>#N/A</v>
      </c>
      <c r="AM132" s="120" t="e">
        <f t="shared" si="31"/>
        <v>#N/A</v>
      </c>
      <c r="AN132" s="121" t="e">
        <f t="shared" si="32"/>
        <v>#N/A</v>
      </c>
      <c r="AO132" s="121" t="e">
        <f>(1-NORMDIST(AN132,$P$32,($P$32/4),TRUE))*(R132/($E$37+'2nd Innings'!$E$37))</f>
        <v>#N/A</v>
      </c>
      <c r="AP132" s="120" t="e">
        <f>(AO132/AO$143)*(200-(8*($H$37+'2nd Innings'!$H$37)))</f>
        <v>#N/A</v>
      </c>
      <c r="AQ132" s="115" t="e">
        <f t="shared" si="9"/>
        <v>#N/A</v>
      </c>
      <c r="AR132" s="114">
        <f>'2nd Innings'!$F$22</f>
        <v>0</v>
      </c>
      <c r="AS132" s="122">
        <f t="shared" ref="AS132:AS140" si="51">IF(A132=$C$34,1,0)</f>
        <v>1</v>
      </c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</row>
    <row r="133" spans="1:72">
      <c r="A133" s="144">
        <f>'2nd Innings'!B9</f>
        <v>0</v>
      </c>
      <c r="B133" s="120">
        <f>'2nd Innings'!A9</f>
        <v>2</v>
      </c>
      <c r="C133" s="120">
        <v>1</v>
      </c>
      <c r="D133" s="120">
        <f>1-COUNTBLANK('2nd Innings'!C9)</f>
        <v>0</v>
      </c>
      <c r="E133" s="120">
        <f>COUNTIF('2nd Innings'!C9,"not out")</f>
        <v>0</v>
      </c>
      <c r="F133" s="120">
        <f>'2nd Innings'!F9</f>
        <v>0</v>
      </c>
      <c r="G133" s="120">
        <f>'2nd Innings'!G9</f>
        <v>0</v>
      </c>
      <c r="H133" s="145">
        <f>'2nd Innings'!I9</f>
        <v>0</v>
      </c>
      <c r="I133" s="120">
        <f>'2nd Innings'!J9</f>
        <v>0</v>
      </c>
      <c r="J133" s="120">
        <f>'2nd Innings'!K9</f>
        <v>0</v>
      </c>
      <c r="K133" s="114">
        <f>SUMIF('2nd Innings'!O8:O18,VLOOKUP(2,'2nd Innings'!A$8:B$18,2,FALSE),'2nd Innings'!Q$8:Q$18)+SUMIF('2nd Innings'!P$8:P$18,VLOOKUP(2,'2nd Innings'!A$8:B$18,2,FALSE),'2nd Innings'!Q$8:Q$18)</f>
        <v>0</v>
      </c>
      <c r="L133" s="114">
        <f>COUNTIFS($C$8:$C$18,"caught",$D$8:$D$18,VLOOKUP(2,'2nd Innings'!$A$8:$B$18,2,FALSE))</f>
        <v>0</v>
      </c>
      <c r="M133" s="114">
        <f>COUNTIFS($C$8:$C$18,"Run Out",$D$8:$D$18,VLOOKUP(2,'2nd Innings'!$A$8:$B$18,2,FALSE))</f>
        <v>0</v>
      </c>
      <c r="N133" s="114">
        <f>COUNTIFS($C$8:$C$18,"Stumped",$D$8:$D$18,VLOOKUP(2,'2nd Innings'!$A$8:$B$18,2,FALSE))</f>
        <v>0</v>
      </c>
      <c r="O133" s="114">
        <f t="shared" si="16"/>
        <v>0</v>
      </c>
      <c r="P133" s="114">
        <f t="shared" si="17"/>
        <v>0</v>
      </c>
      <c r="Q133" s="114">
        <f t="shared" si="18"/>
        <v>0</v>
      </c>
      <c r="R133" s="114" t="e">
        <f>VLOOKUP(VLOOKUP(2,'2nd Innings'!$A$8:$B$18,2,FALSE),$D$26:$N$36,2,FALSE)</f>
        <v>#N/A</v>
      </c>
      <c r="S133" s="114" t="e">
        <f>VLOOKUP(VLOOKUP(2,'2nd Innings'!$A$8:$B$18,2,FALSE),$D$26:$N$36,3,FALSE)</f>
        <v>#N/A</v>
      </c>
      <c r="T133" s="114" t="e">
        <f>VLOOKUP(VLOOKUP(2,'2nd Innings'!$A$8:$B$18,2,FALSE),$D$26:$N$36,4,FALSE)</f>
        <v>#N/A</v>
      </c>
      <c r="U133" s="114" t="e">
        <f>VLOOKUP(VLOOKUP(2,'2nd Innings'!$A$8:$B$18,2,FALSE),$D$26:$N$36,5,FALSE)</f>
        <v>#N/A</v>
      </c>
      <c r="V133" s="114" t="e">
        <f>VLOOKUP(VLOOKUP(2,'2nd Innings'!$A$8:$B$18,2,FALSE),$D$26:$N$36,6,FALSE)</f>
        <v>#N/A</v>
      </c>
      <c r="W133" s="114" t="e">
        <f>VLOOKUP(VLOOKUP(2,'2nd Innings'!$A$8:$B$18,2,FALSE),$D$26:$N$36,7,FALSE)</f>
        <v>#N/A</v>
      </c>
      <c r="X133" s="114" t="e">
        <f>VLOOKUP(VLOOKUP(2,'2nd Innings'!$A$8:$B$18,2,FALSE),$D$26:$N$36,10,FALSE)</f>
        <v>#N/A</v>
      </c>
      <c r="Y133" s="114" t="e">
        <f>VLOOKUP(VLOOKUP(2,'2nd Innings'!$A$8:$B$18,2,FALSE),$D$26:$N$36,11,FALSE)</f>
        <v>#N/A</v>
      </c>
      <c r="Z133" s="114">
        <f t="shared" si="5"/>
        <v>0</v>
      </c>
      <c r="AA133" s="114">
        <f t="shared" si="19"/>
        <v>0</v>
      </c>
      <c r="AB133" s="114">
        <f t="shared" si="20"/>
        <v>0</v>
      </c>
      <c r="AC133" s="114">
        <f t="shared" si="21"/>
        <v>0</v>
      </c>
      <c r="AD133" s="115" t="e">
        <f t="shared" si="6"/>
        <v>#DIV/0!</v>
      </c>
      <c r="AE133" s="115" t="e">
        <f t="shared" si="22"/>
        <v>#DIV/0!</v>
      </c>
      <c r="AF133" s="116" t="e">
        <f t="shared" si="23"/>
        <v>#DIV/0!</v>
      </c>
      <c r="AG133" s="117" t="e">
        <f t="shared" si="7"/>
        <v>#N/A</v>
      </c>
      <c r="AH133" s="118">
        <f t="shared" si="24"/>
        <v>0</v>
      </c>
      <c r="AI133" s="119" t="e">
        <f t="shared" si="25"/>
        <v>#DIV/0!</v>
      </c>
      <c r="AJ133" s="115" t="e">
        <f t="shared" si="26"/>
        <v>#DIV/0!</v>
      </c>
      <c r="AK133" s="115" t="e">
        <f t="shared" si="27"/>
        <v>#DIV/0!</v>
      </c>
      <c r="AL133" s="120" t="e">
        <f t="shared" si="8"/>
        <v>#N/A</v>
      </c>
      <c r="AM133" s="120" t="e">
        <f t="shared" si="31"/>
        <v>#N/A</v>
      </c>
      <c r="AN133" s="121" t="e">
        <f t="shared" si="32"/>
        <v>#N/A</v>
      </c>
      <c r="AO133" s="121" t="e">
        <f>(1-NORMDIST(AN133,$P$32,($P$32/4),TRUE))*(R133/($E$37+'2nd Innings'!$E$37))</f>
        <v>#N/A</v>
      </c>
      <c r="AP133" s="120" t="e">
        <f>(AO133/AO$143)*(200-(8*($H$37+'2nd Innings'!$H$37)))</f>
        <v>#N/A</v>
      </c>
      <c r="AQ133" s="115" t="e">
        <f t="shared" si="9"/>
        <v>#N/A</v>
      </c>
      <c r="AR133" s="114">
        <f>'2nd Innings'!$F$22</f>
        <v>0</v>
      </c>
      <c r="AS133" s="122">
        <f t="shared" si="51"/>
        <v>1</v>
      </c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</row>
    <row r="134" spans="1:72">
      <c r="A134" s="144">
        <f>'2nd Innings'!B10</f>
        <v>0</v>
      </c>
      <c r="B134" s="120">
        <f>'2nd Innings'!A10</f>
        <v>3</v>
      </c>
      <c r="C134" s="120">
        <v>1</v>
      </c>
      <c r="D134" s="120">
        <f>1-COUNTBLANK('2nd Innings'!C10)</f>
        <v>0</v>
      </c>
      <c r="E134" s="120">
        <f>COUNTIF('2nd Innings'!C10,"not out")</f>
        <v>0</v>
      </c>
      <c r="F134" s="120">
        <f>'2nd Innings'!F10</f>
        <v>0</v>
      </c>
      <c r="G134" s="120">
        <f>'2nd Innings'!G10</f>
        <v>0</v>
      </c>
      <c r="H134" s="145">
        <f>'2nd Innings'!I10</f>
        <v>0</v>
      </c>
      <c r="I134" s="120">
        <f>'2nd Innings'!J10</f>
        <v>0</v>
      </c>
      <c r="J134" s="120">
        <f>'2nd Innings'!K10</f>
        <v>0</v>
      </c>
      <c r="K134" s="114">
        <f>SUMIF('2nd Innings'!O8:O18,VLOOKUP(3,'2nd Innings'!A$8:B$18,2,FALSE),'2nd Innings'!Q$8:Q$18)+SUMIF('2nd Innings'!P$8:P$18,VLOOKUP(3,'2nd Innings'!A$8:B$18,2,FALSE),'2nd Innings'!Q$8:Q$18)</f>
        <v>0</v>
      </c>
      <c r="L134" s="114">
        <f>COUNTIFS($C$8:$C$18,"caught",$D$8:$D$18,VLOOKUP(3,'2nd Innings'!$A$8:$B$18,2,FALSE))</f>
        <v>0</v>
      </c>
      <c r="M134" s="114">
        <f>COUNTIFS($C$8:$C$18,"Run Out",$D$8:$D$18,VLOOKUP(3,'2nd Innings'!$A$8:$B$18,2,FALSE))</f>
        <v>0</v>
      </c>
      <c r="N134" s="114">
        <f>COUNTIFS($C$8:$C$18,"Stumped",$D$8:$D$18,VLOOKUP(3,'2nd Innings'!$A$8:$B$18,2,FALSE))</f>
        <v>0</v>
      </c>
      <c r="O134" s="114">
        <f t="shared" si="16"/>
        <v>0</v>
      </c>
      <c r="P134" s="114">
        <f t="shared" si="17"/>
        <v>0</v>
      </c>
      <c r="Q134" s="114">
        <f t="shared" si="18"/>
        <v>0</v>
      </c>
      <c r="R134" s="114" t="e">
        <f>VLOOKUP(VLOOKUP(3,'2nd Innings'!$A$8:$B$18,2,FALSE),$D$26:$N$36,2,FALSE)</f>
        <v>#N/A</v>
      </c>
      <c r="S134" s="114" t="e">
        <f>VLOOKUP(VLOOKUP(3,'2nd Innings'!$A$8:$B$18,2,FALSE),$D$26:$N$36,3,FALSE)</f>
        <v>#N/A</v>
      </c>
      <c r="T134" s="114" t="e">
        <f>VLOOKUP(VLOOKUP(3,'2nd Innings'!$A$8:$B$18,2,FALSE),$D$26:$N$36,4,FALSE)</f>
        <v>#N/A</v>
      </c>
      <c r="U134" s="114" t="e">
        <f>VLOOKUP(VLOOKUP(3,'2nd Innings'!$A$8:$B$18,2,FALSE),$D$26:$N$36,5,FALSE)</f>
        <v>#N/A</v>
      </c>
      <c r="V134" s="114" t="e">
        <f>VLOOKUP(VLOOKUP(3,'2nd Innings'!$A$8:$B$18,2,FALSE),$D$26:$N$36,6,FALSE)</f>
        <v>#N/A</v>
      </c>
      <c r="W134" s="114" t="e">
        <f>VLOOKUP(VLOOKUP(3,'2nd Innings'!$A$8:$B$18,2,FALSE),$D$26:$N$36,7,FALSE)</f>
        <v>#N/A</v>
      </c>
      <c r="X134" s="114" t="e">
        <f>VLOOKUP(VLOOKUP(3,'2nd Innings'!$A$8:$B$18,2,FALSE),$D$26:$N$36,10,FALSE)</f>
        <v>#N/A</v>
      </c>
      <c r="Y134" s="114" t="e">
        <f>VLOOKUP(VLOOKUP(3,'2nd Innings'!$A$8:$B$18,2,FALSE),$D$26:$N$36,11,FALSE)</f>
        <v>#N/A</v>
      </c>
      <c r="Z134" s="114">
        <f t="shared" si="5"/>
        <v>0</v>
      </c>
      <c r="AA134" s="114">
        <f t="shared" si="19"/>
        <v>0</v>
      </c>
      <c r="AB134" s="114">
        <f t="shared" si="20"/>
        <v>0</v>
      </c>
      <c r="AC134" s="114">
        <f t="shared" si="21"/>
        <v>0</v>
      </c>
      <c r="AD134" s="115" t="e">
        <f t="shared" si="6"/>
        <v>#DIV/0!</v>
      </c>
      <c r="AE134" s="115" t="e">
        <f t="shared" si="22"/>
        <v>#DIV/0!</v>
      </c>
      <c r="AF134" s="116" t="e">
        <f t="shared" si="23"/>
        <v>#DIV/0!</v>
      </c>
      <c r="AG134" s="117" t="e">
        <f t="shared" si="7"/>
        <v>#N/A</v>
      </c>
      <c r="AH134" s="118">
        <f t="shared" si="24"/>
        <v>0</v>
      </c>
      <c r="AI134" s="119" t="e">
        <f t="shared" si="25"/>
        <v>#DIV/0!</v>
      </c>
      <c r="AJ134" s="115" t="e">
        <f t="shared" si="26"/>
        <v>#DIV/0!</v>
      </c>
      <c r="AK134" s="115" t="e">
        <f t="shared" si="27"/>
        <v>#DIV/0!</v>
      </c>
      <c r="AL134" s="120" t="e">
        <f t="shared" si="8"/>
        <v>#N/A</v>
      </c>
      <c r="AM134" s="120" t="e">
        <f t="shared" si="31"/>
        <v>#N/A</v>
      </c>
      <c r="AN134" s="121" t="e">
        <f t="shared" si="32"/>
        <v>#N/A</v>
      </c>
      <c r="AO134" s="121" t="e">
        <f>(1-NORMDIST(AN134,$P$32,($P$32/4),TRUE))*(R134/($E$37+'2nd Innings'!$E$37))</f>
        <v>#N/A</v>
      </c>
      <c r="AP134" s="120" t="e">
        <f>(AO134/AO$143)*(200-(8*($H$37+'2nd Innings'!$H$37)))</f>
        <v>#N/A</v>
      </c>
      <c r="AQ134" s="115" t="e">
        <f t="shared" si="9"/>
        <v>#N/A</v>
      </c>
      <c r="AR134" s="114">
        <f>'2nd Innings'!$F$22</f>
        <v>0</v>
      </c>
      <c r="AS134" s="122">
        <f t="shared" si="51"/>
        <v>1</v>
      </c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</row>
    <row r="135" spans="1:72">
      <c r="A135" s="144">
        <f>'2nd Innings'!B11</f>
        <v>0</v>
      </c>
      <c r="B135" s="120">
        <f>'2nd Innings'!A11</f>
        <v>4</v>
      </c>
      <c r="C135" s="120">
        <v>1</v>
      </c>
      <c r="D135" s="120">
        <f>1-COUNTBLANK('2nd Innings'!C11)</f>
        <v>0</v>
      </c>
      <c r="E135" s="120">
        <f>COUNTIF('2nd Innings'!C11,"not out")</f>
        <v>0</v>
      </c>
      <c r="F135" s="120">
        <f>'2nd Innings'!F11</f>
        <v>0</v>
      </c>
      <c r="G135" s="120">
        <f>'2nd Innings'!G11</f>
        <v>0</v>
      </c>
      <c r="H135" s="145">
        <f>'2nd Innings'!I11</f>
        <v>0</v>
      </c>
      <c r="I135" s="120">
        <f>'2nd Innings'!J11</f>
        <v>0</v>
      </c>
      <c r="J135" s="120">
        <f>'2nd Innings'!K11</f>
        <v>0</v>
      </c>
      <c r="K135" s="114">
        <f>SUMIF('2nd Innings'!O8:O18,VLOOKUP(4,'2nd Innings'!A$8:B$18,2,FALSE),'2nd Innings'!Q$8:Q$18)+SUMIF('2nd Innings'!P$8:P$18,VLOOKUP(4,'2nd Innings'!A$8:B$18,2,FALSE),'2nd Innings'!Q$8:Q$18)</f>
        <v>0</v>
      </c>
      <c r="L135" s="114">
        <f>COUNTIFS($C$8:$C$18,"caught",$D$8:$D$18,VLOOKUP(4,'2nd Innings'!$A$8:$B$18,2,FALSE))</f>
        <v>0</v>
      </c>
      <c r="M135" s="114">
        <f>COUNTIFS($C$8:$C$18,"Run Out",$D$8:$D$18,VLOOKUP(4,'2nd Innings'!$A$8:$B$18,2,FALSE))</f>
        <v>0</v>
      </c>
      <c r="N135" s="114">
        <f>COUNTIFS($C$8:$C$18,"Stumped",$D$8:$D$18,VLOOKUP(4,'2nd Innings'!$A$8:$B$18,2,FALSE))</f>
        <v>0</v>
      </c>
      <c r="O135" s="114">
        <f t="shared" si="16"/>
        <v>0</v>
      </c>
      <c r="P135" s="114">
        <f t="shared" si="17"/>
        <v>0</v>
      </c>
      <c r="Q135" s="114">
        <f t="shared" si="18"/>
        <v>0</v>
      </c>
      <c r="R135" s="114" t="e">
        <f>VLOOKUP(VLOOKUP(4,'2nd Innings'!$A$8:$B$18,2,FALSE),$D$26:$N$36,2,FALSE)</f>
        <v>#N/A</v>
      </c>
      <c r="S135" s="114" t="e">
        <f>VLOOKUP(VLOOKUP(4,'2nd Innings'!$A$8:$B$18,2,FALSE),$D$26:$N$36,3,FALSE)</f>
        <v>#N/A</v>
      </c>
      <c r="T135" s="114" t="e">
        <f>VLOOKUP(VLOOKUP(4,'2nd Innings'!$A$8:$B$18,2,FALSE),$D$26:$N$36,4,FALSE)</f>
        <v>#N/A</v>
      </c>
      <c r="U135" s="114" t="e">
        <f>VLOOKUP(VLOOKUP(4,'2nd Innings'!$A$8:$B$18,2,FALSE),$D$26:$N$36,5,FALSE)</f>
        <v>#N/A</v>
      </c>
      <c r="V135" s="114" t="e">
        <f>VLOOKUP(VLOOKUP(4,'2nd Innings'!$A$8:$B$18,2,FALSE),$D$26:$N$36,6,FALSE)</f>
        <v>#N/A</v>
      </c>
      <c r="W135" s="114" t="e">
        <f>VLOOKUP(VLOOKUP(4,'2nd Innings'!$A$8:$B$18,2,FALSE),$D$26:$N$36,7,FALSE)</f>
        <v>#N/A</v>
      </c>
      <c r="X135" s="114" t="e">
        <f>VLOOKUP(VLOOKUP(4,'2nd Innings'!$A$8:$B$18,2,FALSE),$D$26:$N$36,10,FALSE)</f>
        <v>#N/A</v>
      </c>
      <c r="Y135" s="114" t="e">
        <f>VLOOKUP(VLOOKUP(4,'2nd Innings'!$A$8:$B$18,2,FALSE),$D$26:$N$36,11,FALSE)</f>
        <v>#N/A</v>
      </c>
      <c r="Z135" s="114">
        <f t="shared" si="5"/>
        <v>0</v>
      </c>
      <c r="AA135" s="114">
        <f t="shared" si="19"/>
        <v>0</v>
      </c>
      <c r="AB135" s="114">
        <f t="shared" si="20"/>
        <v>0</v>
      </c>
      <c r="AC135" s="114">
        <f t="shared" si="21"/>
        <v>0</v>
      </c>
      <c r="AD135" s="115" t="e">
        <f t="shared" si="6"/>
        <v>#DIV/0!</v>
      </c>
      <c r="AE135" s="115" t="e">
        <f t="shared" si="22"/>
        <v>#DIV/0!</v>
      </c>
      <c r="AF135" s="116" t="e">
        <f t="shared" si="23"/>
        <v>#DIV/0!</v>
      </c>
      <c r="AG135" s="117" t="e">
        <f t="shared" si="7"/>
        <v>#N/A</v>
      </c>
      <c r="AH135" s="118">
        <f t="shared" si="24"/>
        <v>0</v>
      </c>
      <c r="AI135" s="119" t="e">
        <f t="shared" si="25"/>
        <v>#DIV/0!</v>
      </c>
      <c r="AJ135" s="115" t="e">
        <f t="shared" si="26"/>
        <v>#DIV/0!</v>
      </c>
      <c r="AK135" s="115" t="e">
        <f t="shared" si="27"/>
        <v>#DIV/0!</v>
      </c>
      <c r="AL135" s="120" t="e">
        <f t="shared" si="8"/>
        <v>#N/A</v>
      </c>
      <c r="AM135" s="120" t="e">
        <f t="shared" si="31"/>
        <v>#N/A</v>
      </c>
      <c r="AN135" s="121" t="e">
        <f t="shared" si="32"/>
        <v>#N/A</v>
      </c>
      <c r="AO135" s="121" t="e">
        <f>(1-NORMDIST(AN135,$P$32,($P$32/4),TRUE))*(R135/($E$37+'2nd Innings'!$E$37))</f>
        <v>#N/A</v>
      </c>
      <c r="AP135" s="120" t="e">
        <f>(AO135/AO$143)*(200-(8*($H$37+'2nd Innings'!$H$37)))</f>
        <v>#N/A</v>
      </c>
      <c r="AQ135" s="115" t="e">
        <f t="shared" si="9"/>
        <v>#N/A</v>
      </c>
      <c r="AR135" s="114">
        <f>'2nd Innings'!$F$22</f>
        <v>0</v>
      </c>
      <c r="AS135" s="122">
        <f t="shared" si="51"/>
        <v>1</v>
      </c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</row>
    <row r="136" spans="1:72">
      <c r="A136" s="144">
        <f>'2nd Innings'!B12</f>
        <v>0</v>
      </c>
      <c r="B136" s="120">
        <f>'2nd Innings'!A12</f>
        <v>5</v>
      </c>
      <c r="C136" s="120">
        <v>1</v>
      </c>
      <c r="D136" s="120">
        <f>1-COUNTBLANK('2nd Innings'!C12)</f>
        <v>0</v>
      </c>
      <c r="E136" s="120">
        <f>COUNTIF('2nd Innings'!C12,"not out")</f>
        <v>0</v>
      </c>
      <c r="F136" s="120">
        <f>'2nd Innings'!F12</f>
        <v>0</v>
      </c>
      <c r="G136" s="120">
        <f>'2nd Innings'!G12</f>
        <v>0</v>
      </c>
      <c r="H136" s="145">
        <f>'2nd Innings'!I12</f>
        <v>0</v>
      </c>
      <c r="I136" s="120">
        <f>'2nd Innings'!J12</f>
        <v>0</v>
      </c>
      <c r="J136" s="120">
        <f>'2nd Innings'!K12</f>
        <v>0</v>
      </c>
      <c r="K136" s="114">
        <f>SUMIF('2nd Innings'!O8:O18,VLOOKUP(5,'2nd Innings'!A$8:B$18,2,FALSE),'2nd Innings'!Q$8:Q$18)+SUMIF('2nd Innings'!P$8:P$18,VLOOKUP(5,'2nd Innings'!A$8:B$18,2,FALSE),'2nd Innings'!Q$8:Q$18)</f>
        <v>0</v>
      </c>
      <c r="L136" s="114">
        <f>COUNTIFS($C$8:$C$18,"caught",$D$8:$D$18,VLOOKUP(5,'2nd Innings'!$A$8:$B$18,2,FALSE))</f>
        <v>0</v>
      </c>
      <c r="M136" s="114">
        <f>COUNTIFS($C$8:$C$18,"Run Out",$D$8:$D$18,VLOOKUP(5,'2nd Innings'!$A$8:$B$18,2,FALSE))</f>
        <v>0</v>
      </c>
      <c r="N136" s="114">
        <f>COUNTIFS($C$8:$C$18,"Stumped",$D$8:$D$18,VLOOKUP(5,'2nd Innings'!$A$8:$B$18,2,FALSE))</f>
        <v>0</v>
      </c>
      <c r="O136" s="114">
        <f t="shared" si="16"/>
        <v>0</v>
      </c>
      <c r="P136" s="114">
        <f t="shared" si="17"/>
        <v>0</v>
      </c>
      <c r="Q136" s="114">
        <f t="shared" si="18"/>
        <v>0</v>
      </c>
      <c r="R136" s="114" t="e">
        <f>VLOOKUP(VLOOKUP(5,'2nd Innings'!$A$8:$B$18,2,FALSE),$D$26:$N$36,2,FALSE)</f>
        <v>#N/A</v>
      </c>
      <c r="S136" s="114" t="e">
        <f>VLOOKUP(VLOOKUP(5,'2nd Innings'!$A$8:$B$18,2,FALSE),$D$26:$N$36,3,FALSE)</f>
        <v>#N/A</v>
      </c>
      <c r="T136" s="114" t="e">
        <f>VLOOKUP(VLOOKUP(5,'2nd Innings'!$A$8:$B$18,2,FALSE),$D$26:$N$36,4,FALSE)</f>
        <v>#N/A</v>
      </c>
      <c r="U136" s="114" t="e">
        <f>VLOOKUP(VLOOKUP(5,'2nd Innings'!$A$8:$B$18,2,FALSE),$D$26:$N$36,5,FALSE)</f>
        <v>#N/A</v>
      </c>
      <c r="V136" s="114" t="e">
        <f>VLOOKUP(VLOOKUP(5,'2nd Innings'!$A$8:$B$18,2,FALSE),$D$26:$N$36,6,FALSE)</f>
        <v>#N/A</v>
      </c>
      <c r="W136" s="114" t="e">
        <f>VLOOKUP(VLOOKUP(5,'2nd Innings'!$A$8:$B$18,2,FALSE),$D$26:$N$36,7,FALSE)</f>
        <v>#N/A</v>
      </c>
      <c r="X136" s="114" t="e">
        <f>VLOOKUP(VLOOKUP(5,'2nd Innings'!$A$8:$B$18,2,FALSE),$D$26:$N$36,10,FALSE)</f>
        <v>#N/A</v>
      </c>
      <c r="Y136" s="114" t="e">
        <f>VLOOKUP(VLOOKUP(5,'2nd Innings'!$A$8:$B$18,2,FALSE),$D$26:$N$36,11,FALSE)</f>
        <v>#N/A</v>
      </c>
      <c r="Z136" s="114">
        <f t="shared" si="5"/>
        <v>0</v>
      </c>
      <c r="AA136" s="114">
        <f t="shared" si="19"/>
        <v>0</v>
      </c>
      <c r="AB136" s="114">
        <f t="shared" si="20"/>
        <v>0</v>
      </c>
      <c r="AC136" s="114">
        <f t="shared" si="21"/>
        <v>0</v>
      </c>
      <c r="AD136" s="115" t="e">
        <f t="shared" si="6"/>
        <v>#DIV/0!</v>
      </c>
      <c r="AE136" s="115" t="e">
        <f t="shared" si="22"/>
        <v>#DIV/0!</v>
      </c>
      <c r="AF136" s="116" t="e">
        <f t="shared" si="23"/>
        <v>#DIV/0!</v>
      </c>
      <c r="AG136" s="117" t="e">
        <f t="shared" si="7"/>
        <v>#N/A</v>
      </c>
      <c r="AH136" s="118">
        <f t="shared" si="24"/>
        <v>0</v>
      </c>
      <c r="AI136" s="119" t="e">
        <f t="shared" si="25"/>
        <v>#DIV/0!</v>
      </c>
      <c r="AJ136" s="115" t="e">
        <f t="shared" si="26"/>
        <v>#DIV/0!</v>
      </c>
      <c r="AK136" s="115" t="e">
        <f t="shared" si="27"/>
        <v>#DIV/0!</v>
      </c>
      <c r="AL136" s="120" t="e">
        <f t="shared" si="8"/>
        <v>#N/A</v>
      </c>
      <c r="AM136" s="120" t="e">
        <f t="shared" si="31"/>
        <v>#N/A</v>
      </c>
      <c r="AN136" s="121" t="e">
        <f t="shared" si="32"/>
        <v>#N/A</v>
      </c>
      <c r="AO136" s="121" t="e">
        <f>(1-NORMDIST(AN136,$P$32,($P$32/4),TRUE))*(R136/($E$37+'2nd Innings'!$E$37))</f>
        <v>#N/A</v>
      </c>
      <c r="AP136" s="120" t="e">
        <f>(AO136/AO$143)*(200-(8*($H$37+'2nd Innings'!$H$37)))</f>
        <v>#N/A</v>
      </c>
      <c r="AQ136" s="115" t="e">
        <f t="shared" si="9"/>
        <v>#N/A</v>
      </c>
      <c r="AR136" s="114">
        <f>'2nd Innings'!$F$22</f>
        <v>0</v>
      </c>
      <c r="AS136" s="122">
        <f t="shared" si="51"/>
        <v>1</v>
      </c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</row>
    <row r="137" spans="1:72">
      <c r="A137" s="144">
        <f>'2nd Innings'!B13</f>
        <v>0</v>
      </c>
      <c r="B137" s="120">
        <f>'2nd Innings'!A13</f>
        <v>6</v>
      </c>
      <c r="C137" s="120">
        <v>1</v>
      </c>
      <c r="D137" s="120">
        <f>1-COUNTBLANK('2nd Innings'!C13)</f>
        <v>0</v>
      </c>
      <c r="E137" s="120">
        <f>COUNTIF('2nd Innings'!C13,"not out")</f>
        <v>0</v>
      </c>
      <c r="F137" s="120">
        <f>'2nd Innings'!F13</f>
        <v>0</v>
      </c>
      <c r="G137" s="120">
        <f>'2nd Innings'!G13</f>
        <v>0</v>
      </c>
      <c r="H137" s="145">
        <f>'2nd Innings'!I13</f>
        <v>0</v>
      </c>
      <c r="I137" s="120">
        <f>'2nd Innings'!J13</f>
        <v>0</v>
      </c>
      <c r="J137" s="120">
        <f>'2nd Innings'!K13</f>
        <v>0</v>
      </c>
      <c r="K137" s="114">
        <f>SUMIF('2nd Innings'!O8:O18,VLOOKUP(6,'2nd Innings'!A$8:B$18,2,FALSE),'2nd Innings'!Q$8:Q$18)+SUMIF('2nd Innings'!P$8:P$18,VLOOKUP(6,'2nd Innings'!A$8:B$18,2,FALSE),'2nd Innings'!Q$8:Q$18)</f>
        <v>0</v>
      </c>
      <c r="L137" s="114">
        <f>COUNTIFS($C$8:$C$18,"caught",$D$8:$D$18,VLOOKUP(6,'2nd Innings'!$A$8:$B$18,2,FALSE))</f>
        <v>0</v>
      </c>
      <c r="M137" s="114">
        <f>COUNTIFS($C$8:$C$18,"Run Out",$D$8:$D$18,VLOOKUP(6,'2nd Innings'!$A$8:$B$18,2,FALSE))</f>
        <v>0</v>
      </c>
      <c r="N137" s="114">
        <f>COUNTIFS($C$8:$C$18,"Stumped",$D$8:$D$18,VLOOKUP(6,'2nd Innings'!$A$8:$B$18,2,FALSE))</f>
        <v>0</v>
      </c>
      <c r="O137" s="114">
        <f t="shared" si="16"/>
        <v>0</v>
      </c>
      <c r="P137" s="114">
        <f t="shared" si="17"/>
        <v>0</v>
      </c>
      <c r="Q137" s="114">
        <f t="shared" si="18"/>
        <v>0</v>
      </c>
      <c r="R137" s="114" t="e">
        <f>VLOOKUP(VLOOKUP(6,'2nd Innings'!$A$8:$B$18,2,FALSE),$D$26:$N$36,2,FALSE)</f>
        <v>#N/A</v>
      </c>
      <c r="S137" s="114" t="e">
        <f>VLOOKUP(VLOOKUP(6,'2nd Innings'!$A$8:$B$18,2,FALSE),$D$26:$N$36,3,FALSE)</f>
        <v>#N/A</v>
      </c>
      <c r="T137" s="114" t="e">
        <f>VLOOKUP(VLOOKUP(6,'2nd Innings'!$A$8:$B$18,2,FALSE),$D$26:$N$36,4,FALSE)</f>
        <v>#N/A</v>
      </c>
      <c r="U137" s="114" t="e">
        <f>VLOOKUP(VLOOKUP(6,'2nd Innings'!$A$8:$B$18,2,FALSE),$D$26:$N$36,5,FALSE)</f>
        <v>#N/A</v>
      </c>
      <c r="V137" s="114" t="e">
        <f>VLOOKUP(VLOOKUP(6,'2nd Innings'!$A$8:$B$18,2,FALSE),$D$26:$N$36,6,FALSE)</f>
        <v>#N/A</v>
      </c>
      <c r="W137" s="114" t="e">
        <f>VLOOKUP(VLOOKUP(6,'2nd Innings'!$A$8:$B$18,2,FALSE),$D$26:$N$36,7,FALSE)</f>
        <v>#N/A</v>
      </c>
      <c r="X137" s="114" t="e">
        <f>VLOOKUP(VLOOKUP(6,'2nd Innings'!$A$8:$B$18,2,FALSE),$D$26:$N$36,10,FALSE)</f>
        <v>#N/A</v>
      </c>
      <c r="Y137" s="114" t="e">
        <f>VLOOKUP(VLOOKUP(6,'2nd Innings'!$A$8:$B$18,2,FALSE),$D$26:$N$36,11,FALSE)</f>
        <v>#N/A</v>
      </c>
      <c r="Z137" s="114">
        <f t="shared" si="5"/>
        <v>0</v>
      </c>
      <c r="AA137" s="114">
        <f t="shared" si="19"/>
        <v>0</v>
      </c>
      <c r="AB137" s="114">
        <f t="shared" si="20"/>
        <v>0</v>
      </c>
      <c r="AC137" s="114">
        <f t="shared" si="21"/>
        <v>0</v>
      </c>
      <c r="AD137" s="115" t="e">
        <f t="shared" si="6"/>
        <v>#DIV/0!</v>
      </c>
      <c r="AE137" s="115" t="e">
        <f t="shared" si="22"/>
        <v>#DIV/0!</v>
      </c>
      <c r="AF137" s="116" t="e">
        <f t="shared" si="23"/>
        <v>#DIV/0!</v>
      </c>
      <c r="AG137" s="117" t="e">
        <f t="shared" si="7"/>
        <v>#N/A</v>
      </c>
      <c r="AH137" s="118">
        <f t="shared" si="24"/>
        <v>0</v>
      </c>
      <c r="AI137" s="119" t="e">
        <f t="shared" si="25"/>
        <v>#DIV/0!</v>
      </c>
      <c r="AJ137" s="115" t="e">
        <f t="shared" si="26"/>
        <v>#DIV/0!</v>
      </c>
      <c r="AK137" s="115" t="e">
        <f t="shared" si="27"/>
        <v>#DIV/0!</v>
      </c>
      <c r="AL137" s="120" t="e">
        <f t="shared" si="8"/>
        <v>#N/A</v>
      </c>
      <c r="AM137" s="120" t="e">
        <f t="shared" si="31"/>
        <v>#N/A</v>
      </c>
      <c r="AN137" s="121" t="e">
        <f t="shared" si="32"/>
        <v>#N/A</v>
      </c>
      <c r="AO137" s="121" t="e">
        <f>(1-NORMDIST(AN137,$P$32,($P$32/4),TRUE))*(R137/($E$37+'2nd Innings'!$E$37))</f>
        <v>#N/A</v>
      </c>
      <c r="AP137" s="120" t="e">
        <f>(AO137/AO$143)*(200-(8*($H$37+'2nd Innings'!$H$37)))</f>
        <v>#N/A</v>
      </c>
      <c r="AQ137" s="115" t="e">
        <f t="shared" si="9"/>
        <v>#N/A</v>
      </c>
      <c r="AR137" s="114">
        <f>'2nd Innings'!$F$22</f>
        <v>0</v>
      </c>
      <c r="AS137" s="122">
        <f t="shared" si="51"/>
        <v>1</v>
      </c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</row>
    <row r="138" spans="1:72">
      <c r="A138" s="144">
        <f>'2nd Innings'!B14</f>
        <v>0</v>
      </c>
      <c r="B138" s="120">
        <f>'2nd Innings'!A14</f>
        <v>7</v>
      </c>
      <c r="C138" s="120">
        <v>1</v>
      </c>
      <c r="D138" s="120">
        <f>1-COUNTBLANK('2nd Innings'!C14)</f>
        <v>0</v>
      </c>
      <c r="E138" s="120">
        <f>COUNTIF('2nd Innings'!C14,"not out")</f>
        <v>0</v>
      </c>
      <c r="F138" s="120">
        <f>'2nd Innings'!F14</f>
        <v>0</v>
      </c>
      <c r="G138" s="120">
        <f>'2nd Innings'!G14</f>
        <v>0</v>
      </c>
      <c r="H138" s="145">
        <f>'2nd Innings'!I14</f>
        <v>0</v>
      </c>
      <c r="I138" s="120">
        <f>'2nd Innings'!J14</f>
        <v>0</v>
      </c>
      <c r="J138" s="120">
        <f>'2nd Innings'!K14</f>
        <v>0</v>
      </c>
      <c r="K138" s="114">
        <f>SUMIF('2nd Innings'!O8:O18,VLOOKUP(7,'2nd Innings'!A$8:B$18,2,FALSE),'2nd Innings'!Q$8:Q$18)+SUMIF('2nd Innings'!P$8:P$18,VLOOKUP(7,'2nd Innings'!A$8:B$18,2,FALSE),'2nd Innings'!Q$8:Q$18)</f>
        <v>0</v>
      </c>
      <c r="L138" s="114">
        <f>COUNTIFS($C$8:$C$18,"caught",$D$8:$D$18,VLOOKUP(7,'2nd Innings'!$A$8:$B$18,2,FALSE))</f>
        <v>0</v>
      </c>
      <c r="M138" s="114">
        <f>COUNTIFS($C$8:$C$18,"Run Out",$D$8:$D$18,VLOOKUP(7,'2nd Innings'!$A$8:$B$18,2,FALSE))</f>
        <v>0</v>
      </c>
      <c r="N138" s="114">
        <f>COUNTIFS($C$8:$C$18,"Stumped",$D$8:$D$18,VLOOKUP(7,'2nd Innings'!$A$8:$B$18,2,FALSE))</f>
        <v>0</v>
      </c>
      <c r="O138" s="114">
        <f t="shared" si="16"/>
        <v>0</v>
      </c>
      <c r="P138" s="114">
        <f t="shared" si="17"/>
        <v>0</v>
      </c>
      <c r="Q138" s="114">
        <f t="shared" si="18"/>
        <v>0</v>
      </c>
      <c r="R138" s="114" t="e">
        <f>VLOOKUP(VLOOKUP(7,'2nd Innings'!$A$8:$B$18,2,FALSE),$D$26:$N$36,2,FALSE)</f>
        <v>#N/A</v>
      </c>
      <c r="S138" s="114" t="e">
        <f>VLOOKUP(VLOOKUP(7,'2nd Innings'!$A$8:$B$18,2,FALSE),$D$26:$N$36,3,FALSE)</f>
        <v>#N/A</v>
      </c>
      <c r="T138" s="114" t="e">
        <f>VLOOKUP(VLOOKUP(7,'2nd Innings'!$A$8:$B$18,2,FALSE),$D$26:$N$36,4,FALSE)</f>
        <v>#N/A</v>
      </c>
      <c r="U138" s="114" t="e">
        <f>VLOOKUP(VLOOKUP(7,'2nd Innings'!$A$8:$B$18,2,FALSE),$D$26:$N$36,5,FALSE)</f>
        <v>#N/A</v>
      </c>
      <c r="V138" s="114" t="e">
        <f>VLOOKUP(VLOOKUP(7,'2nd Innings'!$A$8:$B$18,2,FALSE),$D$26:$N$36,6,FALSE)</f>
        <v>#N/A</v>
      </c>
      <c r="W138" s="114" t="e">
        <f>VLOOKUP(VLOOKUP(7,'2nd Innings'!$A$8:$B$18,2,FALSE),$D$26:$N$36,7,FALSE)</f>
        <v>#N/A</v>
      </c>
      <c r="X138" s="114" t="e">
        <f>VLOOKUP(VLOOKUP(7,'2nd Innings'!$A$8:$B$18,2,FALSE),$D$26:$N$36,10,FALSE)</f>
        <v>#N/A</v>
      </c>
      <c r="Y138" s="114" t="e">
        <f>VLOOKUP(VLOOKUP(7,'2nd Innings'!$A$8:$B$18,2,FALSE),$D$26:$N$36,11,FALSE)</f>
        <v>#N/A</v>
      </c>
      <c r="Z138" s="114">
        <f t="shared" si="5"/>
        <v>0</v>
      </c>
      <c r="AA138" s="114">
        <f t="shared" si="19"/>
        <v>0</v>
      </c>
      <c r="AB138" s="114">
        <f t="shared" si="20"/>
        <v>0</v>
      </c>
      <c r="AC138" s="114">
        <f t="shared" si="21"/>
        <v>0</v>
      </c>
      <c r="AD138" s="115" t="e">
        <f t="shared" si="6"/>
        <v>#DIV/0!</v>
      </c>
      <c r="AE138" s="115" t="e">
        <f t="shared" si="22"/>
        <v>#DIV/0!</v>
      </c>
      <c r="AF138" s="116" t="e">
        <f t="shared" si="23"/>
        <v>#DIV/0!</v>
      </c>
      <c r="AG138" s="117" t="e">
        <f t="shared" si="7"/>
        <v>#N/A</v>
      </c>
      <c r="AH138" s="118">
        <f t="shared" si="24"/>
        <v>0</v>
      </c>
      <c r="AI138" s="119" t="e">
        <f t="shared" si="25"/>
        <v>#DIV/0!</v>
      </c>
      <c r="AJ138" s="115" t="e">
        <f t="shared" si="26"/>
        <v>#DIV/0!</v>
      </c>
      <c r="AK138" s="115" t="e">
        <f t="shared" si="27"/>
        <v>#DIV/0!</v>
      </c>
      <c r="AL138" s="120" t="e">
        <f t="shared" si="8"/>
        <v>#N/A</v>
      </c>
      <c r="AM138" s="120" t="e">
        <f t="shared" si="31"/>
        <v>#N/A</v>
      </c>
      <c r="AN138" s="121" t="e">
        <f t="shared" si="32"/>
        <v>#N/A</v>
      </c>
      <c r="AO138" s="121" t="e">
        <f>(1-NORMDIST(AN138,$P$32,($P$32/4),TRUE))*(R138/($E$37+'2nd Innings'!$E$37))</f>
        <v>#N/A</v>
      </c>
      <c r="AP138" s="120" t="e">
        <f>(AO138/AO$143)*(200-(8*($H$37+'2nd Innings'!$H$37)))</f>
        <v>#N/A</v>
      </c>
      <c r="AQ138" s="115" t="e">
        <f t="shared" si="9"/>
        <v>#N/A</v>
      </c>
      <c r="AR138" s="114">
        <f>'2nd Innings'!$F$22</f>
        <v>0</v>
      </c>
      <c r="AS138" s="122">
        <f t="shared" si="51"/>
        <v>1</v>
      </c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</row>
    <row r="139" spans="1:72">
      <c r="A139" s="144">
        <f>'2nd Innings'!B15</f>
        <v>0</v>
      </c>
      <c r="B139" s="120">
        <f>'2nd Innings'!A15</f>
        <v>8</v>
      </c>
      <c r="C139" s="120">
        <v>1</v>
      </c>
      <c r="D139" s="120">
        <f>1-COUNTBLANK('2nd Innings'!C15)</f>
        <v>0</v>
      </c>
      <c r="E139" s="120">
        <f>COUNTIF('2nd Innings'!C15,"not out")</f>
        <v>0</v>
      </c>
      <c r="F139" s="120">
        <f>'2nd Innings'!F15</f>
        <v>0</v>
      </c>
      <c r="G139" s="120">
        <f>'2nd Innings'!G15</f>
        <v>0</v>
      </c>
      <c r="H139" s="145">
        <f>'2nd Innings'!I15</f>
        <v>0</v>
      </c>
      <c r="I139" s="120">
        <f>'2nd Innings'!J15</f>
        <v>0</v>
      </c>
      <c r="J139" s="120">
        <f>'2nd Innings'!K15</f>
        <v>0</v>
      </c>
      <c r="K139" s="114">
        <f>SUMIF('2nd Innings'!O8:O18,VLOOKUP(8,'2nd Innings'!A$8:B$18,2,FALSE),'2nd Innings'!Q$8:Q$18)+SUMIF('2nd Innings'!P$8:P$18,VLOOKUP(8,'2nd Innings'!A$8:B$18,2,FALSE),'2nd Innings'!Q$8:Q$18)</f>
        <v>0</v>
      </c>
      <c r="L139" s="114">
        <f>COUNTIFS($C$8:$C$18,"caught",$D$8:$D$18,VLOOKUP(8,'2nd Innings'!$A$8:$B$18,2,FALSE))</f>
        <v>0</v>
      </c>
      <c r="M139" s="114">
        <f>COUNTIFS($C$8:$C$18,"Run Out",$D$8:$D$18,VLOOKUP(8,'2nd Innings'!$A$8:$B$18,2,FALSE))</f>
        <v>0</v>
      </c>
      <c r="N139" s="114">
        <f>COUNTIFS($C$8:$C$18,"Stumped",$D$8:$D$18,VLOOKUP(8,'2nd Innings'!$A$8:$B$18,2,FALSE))</f>
        <v>0</v>
      </c>
      <c r="O139" s="114">
        <f t="shared" si="16"/>
        <v>0</v>
      </c>
      <c r="P139" s="114">
        <f t="shared" si="17"/>
        <v>0</v>
      </c>
      <c r="Q139" s="114">
        <f t="shared" si="18"/>
        <v>0</v>
      </c>
      <c r="R139" s="114" t="e">
        <f>VLOOKUP(VLOOKUP(8,'2nd Innings'!$A$8:$B$18,2,FALSE),$D$26:$N$36,2,FALSE)</f>
        <v>#N/A</v>
      </c>
      <c r="S139" s="114" t="e">
        <f>VLOOKUP(VLOOKUP(8,'2nd Innings'!$A$8:$B$18,2,FALSE),$D$26:$N$36,3,FALSE)</f>
        <v>#N/A</v>
      </c>
      <c r="T139" s="114" t="e">
        <f>VLOOKUP(VLOOKUP(8,'2nd Innings'!$A$8:$B$18,2,FALSE),$D$26:$N$36,4,FALSE)</f>
        <v>#N/A</v>
      </c>
      <c r="U139" s="114" t="e">
        <f>VLOOKUP(VLOOKUP(8,'2nd Innings'!$A$8:$B$18,2,FALSE),$D$26:$N$36,5,FALSE)</f>
        <v>#N/A</v>
      </c>
      <c r="V139" s="114" t="e">
        <f>VLOOKUP(VLOOKUP(8,'2nd Innings'!$A$8:$B$18,2,FALSE),$D$26:$N$36,6,FALSE)</f>
        <v>#N/A</v>
      </c>
      <c r="W139" s="114" t="e">
        <f>VLOOKUP(VLOOKUP(8,'2nd Innings'!$A$8:$B$18,2,FALSE),$D$26:$N$36,7,FALSE)</f>
        <v>#N/A</v>
      </c>
      <c r="X139" s="114" t="e">
        <f>VLOOKUP(VLOOKUP(8,'2nd Innings'!$A$8:$B$18,2,FALSE),$D$26:$N$36,10,FALSE)</f>
        <v>#N/A</v>
      </c>
      <c r="Y139" s="114" t="e">
        <f>VLOOKUP(VLOOKUP(8,'2nd Innings'!$A$8:$B$18,2,FALSE),$D$26:$N$36,11,FALSE)</f>
        <v>#N/A</v>
      </c>
      <c r="Z139" s="114">
        <f t="shared" si="5"/>
        <v>0</v>
      </c>
      <c r="AA139" s="114">
        <f t="shared" si="19"/>
        <v>0</v>
      </c>
      <c r="AB139" s="114">
        <f t="shared" si="20"/>
        <v>0</v>
      </c>
      <c r="AC139" s="114">
        <f t="shared" si="21"/>
        <v>0</v>
      </c>
      <c r="AD139" s="115" t="e">
        <f t="shared" si="6"/>
        <v>#DIV/0!</v>
      </c>
      <c r="AE139" s="115" t="e">
        <f t="shared" si="22"/>
        <v>#DIV/0!</v>
      </c>
      <c r="AF139" s="116" t="e">
        <f t="shared" si="23"/>
        <v>#DIV/0!</v>
      </c>
      <c r="AG139" s="117" t="e">
        <f t="shared" si="7"/>
        <v>#N/A</v>
      </c>
      <c r="AH139" s="118">
        <f t="shared" si="24"/>
        <v>0</v>
      </c>
      <c r="AI139" s="119" t="e">
        <f t="shared" si="25"/>
        <v>#DIV/0!</v>
      </c>
      <c r="AJ139" s="115" t="e">
        <f t="shared" si="26"/>
        <v>#DIV/0!</v>
      </c>
      <c r="AK139" s="115" t="e">
        <f t="shared" si="27"/>
        <v>#DIV/0!</v>
      </c>
      <c r="AL139" s="120" t="e">
        <f t="shared" si="8"/>
        <v>#N/A</v>
      </c>
      <c r="AM139" s="120" t="e">
        <f t="shared" si="31"/>
        <v>#N/A</v>
      </c>
      <c r="AN139" s="121" t="e">
        <f t="shared" si="32"/>
        <v>#N/A</v>
      </c>
      <c r="AO139" s="121" t="e">
        <f>(1-NORMDIST(AN139,$P$32,($P$32/4),TRUE))*(R139/($E$37+'2nd Innings'!$E$37))</f>
        <v>#N/A</v>
      </c>
      <c r="AP139" s="120" t="e">
        <f>(AO139/AO$143)*(200-(8*($H$37+'2nd Innings'!$H$37)))</f>
        <v>#N/A</v>
      </c>
      <c r="AQ139" s="115" t="e">
        <f t="shared" si="9"/>
        <v>#N/A</v>
      </c>
      <c r="AR139" s="114">
        <f>'2nd Innings'!$F$22</f>
        <v>0</v>
      </c>
      <c r="AS139" s="122">
        <f t="shared" si="51"/>
        <v>1</v>
      </c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</row>
    <row r="140" spans="1:72">
      <c r="A140" s="144">
        <f>'2nd Innings'!B16</f>
        <v>0</v>
      </c>
      <c r="B140" s="120">
        <f>'2nd Innings'!A16</f>
        <v>9</v>
      </c>
      <c r="C140" s="120">
        <v>1</v>
      </c>
      <c r="D140" s="120">
        <f>1-COUNTBLANK('2nd Innings'!C16)</f>
        <v>0</v>
      </c>
      <c r="E140" s="120">
        <f>COUNTIF('2nd Innings'!C16,"not out")</f>
        <v>0</v>
      </c>
      <c r="F140" s="120">
        <f>'2nd Innings'!F16</f>
        <v>0</v>
      </c>
      <c r="G140" s="120">
        <f>'2nd Innings'!G16</f>
        <v>0</v>
      </c>
      <c r="H140" s="145">
        <f>'2nd Innings'!I16</f>
        <v>0</v>
      </c>
      <c r="I140" s="120">
        <f>'2nd Innings'!J16</f>
        <v>0</v>
      </c>
      <c r="J140" s="120">
        <f>'2nd Innings'!K16</f>
        <v>0</v>
      </c>
      <c r="K140" s="114">
        <f>SUMIF('2nd Innings'!O8:O18,VLOOKUP(9,'2nd Innings'!A$8:B$18,2,FALSE),'2nd Innings'!Q$8:Q$18)+SUMIF('2nd Innings'!P$8:P$18,VLOOKUP(9,'2nd Innings'!A$8:B$18,2,FALSE),'2nd Innings'!Q$8:Q$18)</f>
        <v>0</v>
      </c>
      <c r="L140" s="114">
        <f>COUNTIFS($C$8:$C$18,"caught",$D$8:$D$18,VLOOKUP(9,'2nd Innings'!$A$8:$B$18,2,FALSE))</f>
        <v>0</v>
      </c>
      <c r="M140" s="114">
        <f>COUNTIFS($C$8:$C$18,"Run Out",$D$8:$D$18,VLOOKUP(9,'2nd Innings'!$A$8:$B$18,2,FALSE))</f>
        <v>0</v>
      </c>
      <c r="N140" s="114">
        <f>COUNTIFS($C$8:$C$18,"Stumped",$D$8:$D$18,VLOOKUP(9,'2nd Innings'!$A$8:$B$18,2,FALSE))</f>
        <v>0</v>
      </c>
      <c r="O140" s="114">
        <f t="shared" si="16"/>
        <v>0</v>
      </c>
      <c r="P140" s="114">
        <f t="shared" si="17"/>
        <v>0</v>
      </c>
      <c r="Q140" s="114">
        <f t="shared" si="18"/>
        <v>0</v>
      </c>
      <c r="R140" s="114" t="e">
        <f>VLOOKUP(VLOOKUP(9,'2nd Innings'!$A$8:$B$18,2,FALSE),$D$26:$N$36,2,FALSE)</f>
        <v>#N/A</v>
      </c>
      <c r="S140" s="114" t="e">
        <f>VLOOKUP(VLOOKUP(9,'2nd Innings'!$A$8:$B$18,2,FALSE),$D$26:$N$36,3,FALSE)</f>
        <v>#N/A</v>
      </c>
      <c r="T140" s="114" t="e">
        <f>VLOOKUP(VLOOKUP(9,'2nd Innings'!$A$8:$B$18,2,FALSE),$D$26:$N$36,4,FALSE)</f>
        <v>#N/A</v>
      </c>
      <c r="U140" s="114" t="e">
        <f>VLOOKUP(VLOOKUP(9,'2nd Innings'!$A$8:$B$18,2,FALSE),$D$26:$N$36,5,FALSE)</f>
        <v>#N/A</v>
      </c>
      <c r="V140" s="114" t="e">
        <f>VLOOKUP(VLOOKUP(9,'2nd Innings'!$A$8:$B$18,2,FALSE),$D$26:$N$36,6,FALSE)</f>
        <v>#N/A</v>
      </c>
      <c r="W140" s="114" t="e">
        <f>VLOOKUP(VLOOKUP(9,'2nd Innings'!$A$8:$B$18,2,FALSE),$D$26:$N$36,7,FALSE)</f>
        <v>#N/A</v>
      </c>
      <c r="X140" s="114" t="e">
        <f>VLOOKUP(VLOOKUP(9,'2nd Innings'!$A$8:$B$18,2,FALSE),$D$26:$N$36,10,FALSE)</f>
        <v>#N/A</v>
      </c>
      <c r="Y140" s="114" t="e">
        <f>VLOOKUP(VLOOKUP(9,'2nd Innings'!$A$8:$B$18,2,FALSE),$D$26:$N$36,11,FALSE)</f>
        <v>#N/A</v>
      </c>
      <c r="Z140" s="114">
        <f t="shared" si="5"/>
        <v>0</v>
      </c>
      <c r="AA140" s="114">
        <f t="shared" si="19"/>
        <v>0</v>
      </c>
      <c r="AB140" s="114">
        <f t="shared" si="20"/>
        <v>0</v>
      </c>
      <c r="AC140" s="114">
        <f t="shared" si="21"/>
        <v>0</v>
      </c>
      <c r="AD140" s="115" t="e">
        <f t="shared" si="6"/>
        <v>#DIV/0!</v>
      </c>
      <c r="AE140" s="115" t="e">
        <f t="shared" si="22"/>
        <v>#DIV/0!</v>
      </c>
      <c r="AF140" s="116" t="e">
        <f t="shared" si="23"/>
        <v>#DIV/0!</v>
      </c>
      <c r="AG140" s="117" t="e">
        <f t="shared" si="7"/>
        <v>#N/A</v>
      </c>
      <c r="AH140" s="118">
        <f t="shared" si="24"/>
        <v>0</v>
      </c>
      <c r="AI140" s="119" t="e">
        <f t="shared" si="25"/>
        <v>#DIV/0!</v>
      </c>
      <c r="AJ140" s="115" t="e">
        <f t="shared" si="26"/>
        <v>#DIV/0!</v>
      </c>
      <c r="AK140" s="115" t="e">
        <f t="shared" si="27"/>
        <v>#DIV/0!</v>
      </c>
      <c r="AL140" s="120" t="e">
        <f t="shared" si="8"/>
        <v>#N/A</v>
      </c>
      <c r="AM140" s="120" t="e">
        <f t="shared" si="31"/>
        <v>#N/A</v>
      </c>
      <c r="AN140" s="121" t="e">
        <f t="shared" si="32"/>
        <v>#N/A</v>
      </c>
      <c r="AO140" s="121" t="e">
        <f>(1-NORMDIST(AN140,$P$32,($P$32/4),TRUE))*(R140/($E$37+'2nd Innings'!$E$37))</f>
        <v>#N/A</v>
      </c>
      <c r="AP140" s="120" t="e">
        <f>(AO140/AO$143)*(200-(8*($H$37+'2nd Innings'!$H$37)))</f>
        <v>#N/A</v>
      </c>
      <c r="AQ140" s="115" t="e">
        <f t="shared" si="9"/>
        <v>#N/A</v>
      </c>
      <c r="AR140" s="114">
        <f>'2nd Innings'!$F$22</f>
        <v>0</v>
      </c>
      <c r="AS140" s="122">
        <f t="shared" si="51"/>
        <v>1</v>
      </c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</row>
    <row r="141" spans="1:72">
      <c r="A141" s="144">
        <f>'2nd Innings'!B17</f>
        <v>0</v>
      </c>
      <c r="B141" s="120">
        <f>'2nd Innings'!A17</f>
        <v>10</v>
      </c>
      <c r="C141" s="120">
        <v>1</v>
      </c>
      <c r="D141" s="120">
        <f>1-COUNTBLANK('2nd Innings'!C17)</f>
        <v>0</v>
      </c>
      <c r="E141" s="120">
        <f>COUNTIF('2nd Innings'!C17,"not out")</f>
        <v>0</v>
      </c>
      <c r="F141" s="120">
        <f>'2nd Innings'!F17</f>
        <v>0</v>
      </c>
      <c r="G141" s="120">
        <f>'2nd Innings'!G17</f>
        <v>0</v>
      </c>
      <c r="H141" s="145">
        <f>'2nd Innings'!I17</f>
        <v>0</v>
      </c>
      <c r="I141" s="120">
        <f>'2nd Innings'!J17</f>
        <v>0</v>
      </c>
      <c r="J141" s="120">
        <f>'2nd Innings'!K17</f>
        <v>0</v>
      </c>
      <c r="K141" s="114">
        <f>SUMIF('2nd Innings'!O8:O18,VLOOKUP(10,'2nd Innings'!A$8:B$18,2,FALSE),'2nd Innings'!Q$8:Q$18)+SUMIF('2nd Innings'!P$8:P$18,VLOOKUP(10,'2nd Innings'!A$8:B$18,2,FALSE),'2nd Innings'!Q$8:Q$18)</f>
        <v>0</v>
      </c>
      <c r="L141" s="114">
        <f>COUNTIFS($C$8:$C$18,"caught",$D$8:$D$18,VLOOKUP(10,'2nd Innings'!$A$8:$B$18,2,FALSE))</f>
        <v>0</v>
      </c>
      <c r="M141" s="114">
        <f>COUNTIFS($C$8:$C$18,"Run Out",$D$8:$D$18,VLOOKUP(10,'2nd Innings'!$A$8:$B$18,2,FALSE))</f>
        <v>0</v>
      </c>
      <c r="N141" s="114">
        <f>COUNTIFS($C$8:$C$18,"Stumped",$D$8:$D$18,VLOOKUP(10,'2nd Innings'!$A$8:$B$18,2,FALSE))</f>
        <v>0</v>
      </c>
      <c r="O141" s="114">
        <f t="shared" si="16"/>
        <v>0</v>
      </c>
      <c r="P141" s="114">
        <f t="shared" si="17"/>
        <v>0</v>
      </c>
      <c r="Q141" s="114">
        <f t="shared" si="18"/>
        <v>0</v>
      </c>
      <c r="R141" s="114" t="e">
        <f>VLOOKUP(VLOOKUP(10,'2nd Innings'!$A$8:$B$18,2,FALSE),$D$26:$N$36,2,FALSE)</f>
        <v>#N/A</v>
      </c>
      <c r="S141" s="114" t="e">
        <f>VLOOKUP(VLOOKUP(10,'2nd Innings'!$A$8:$B$18,2,FALSE),$D$26:$N$36,3,FALSE)</f>
        <v>#N/A</v>
      </c>
      <c r="T141" s="114" t="e">
        <f>VLOOKUP(VLOOKUP(10,'2nd Innings'!$A$8:$B$18,2,FALSE),$D$26:$N$36,4,FALSE)</f>
        <v>#N/A</v>
      </c>
      <c r="U141" s="114" t="e">
        <f>VLOOKUP(VLOOKUP(10,'2nd Innings'!$A$8:$B$18,2,FALSE),$D$26:$N$36,5,FALSE)</f>
        <v>#N/A</v>
      </c>
      <c r="V141" s="114" t="e">
        <f>VLOOKUP(VLOOKUP(10,'2nd Innings'!$A$8:$B$18,2,FALSE),$D$26:$N$36,6,FALSE)</f>
        <v>#N/A</v>
      </c>
      <c r="W141" s="114" t="e">
        <f>VLOOKUP(VLOOKUP(10,'2nd Innings'!$A$8:$B$18,2,FALSE),$D$26:$N$36,7,FALSE)</f>
        <v>#N/A</v>
      </c>
      <c r="X141" s="114" t="e">
        <f>VLOOKUP(VLOOKUP(10,'2nd Innings'!$A$8:$B$18,2,FALSE),$D$26:$N$36,10,FALSE)</f>
        <v>#N/A</v>
      </c>
      <c r="Y141" s="114" t="e">
        <f>VLOOKUP(VLOOKUP(10,'2nd Innings'!$A$8:$B$18,2,FALSE),$D$26:$N$36,11,FALSE)</f>
        <v>#N/A</v>
      </c>
      <c r="Z141" s="114">
        <f t="shared" si="5"/>
        <v>0</v>
      </c>
      <c r="AA141" s="114">
        <f t="shared" si="19"/>
        <v>0</v>
      </c>
      <c r="AB141" s="114">
        <f t="shared" si="20"/>
        <v>0</v>
      </c>
      <c r="AC141" s="114">
        <f t="shared" si="21"/>
        <v>0</v>
      </c>
      <c r="AD141" s="115" t="e">
        <f t="shared" si="6"/>
        <v>#DIV/0!</v>
      </c>
      <c r="AE141" s="115" t="e">
        <f t="shared" si="22"/>
        <v>#DIV/0!</v>
      </c>
      <c r="AF141" s="116" t="e">
        <f t="shared" si="23"/>
        <v>#DIV/0!</v>
      </c>
      <c r="AG141" s="117" t="e">
        <f t="shared" si="7"/>
        <v>#N/A</v>
      </c>
      <c r="AH141" s="118">
        <f t="shared" si="24"/>
        <v>0</v>
      </c>
      <c r="AI141" s="119" t="e">
        <f t="shared" si="25"/>
        <v>#DIV/0!</v>
      </c>
      <c r="AJ141" s="115" t="e">
        <f t="shared" si="26"/>
        <v>#DIV/0!</v>
      </c>
      <c r="AK141" s="115" t="e">
        <f t="shared" si="27"/>
        <v>#DIV/0!</v>
      </c>
      <c r="AL141" s="120" t="e">
        <f t="shared" si="8"/>
        <v>#N/A</v>
      </c>
      <c r="AM141" s="120" t="e">
        <f t="shared" si="31"/>
        <v>#N/A</v>
      </c>
      <c r="AN141" s="121" t="e">
        <f t="shared" si="32"/>
        <v>#N/A</v>
      </c>
      <c r="AO141" s="121" t="e">
        <f>(1-NORMDIST(AN141,$P$32,($P$32/4),TRUE))*(R141/($E$37+'2nd Innings'!$E$37))</f>
        <v>#N/A</v>
      </c>
      <c r="AP141" s="120" t="e">
        <f>(AO141/AO$143)*(200-(8*($H$37+'2nd Innings'!$H$37)))</f>
        <v>#N/A</v>
      </c>
      <c r="AQ141" s="115" t="e">
        <f t="shared" si="9"/>
        <v>#N/A</v>
      </c>
      <c r="AR141" s="114">
        <f>'2nd Innings'!$F$22</f>
        <v>0</v>
      </c>
      <c r="AS141" s="122">
        <f>IF(A141=$C$34,1,0)</f>
        <v>1</v>
      </c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</row>
    <row r="142" spans="1:72" ht="15.75" thickBot="1">
      <c r="A142" s="146">
        <f>'2nd Innings'!B18</f>
        <v>0</v>
      </c>
      <c r="B142" s="129">
        <f>'2nd Innings'!A18</f>
        <v>11</v>
      </c>
      <c r="C142" s="129">
        <v>1</v>
      </c>
      <c r="D142" s="129">
        <f>1-COUNTBLANK('2nd Innings'!C18)</f>
        <v>0</v>
      </c>
      <c r="E142" s="129">
        <f>COUNTIF('2nd Innings'!C18,"not out")</f>
        <v>0</v>
      </c>
      <c r="F142" s="129">
        <f>'2nd Innings'!F18</f>
        <v>0</v>
      </c>
      <c r="G142" s="129">
        <f>'2nd Innings'!G18</f>
        <v>0</v>
      </c>
      <c r="H142" s="147">
        <f>'2nd Innings'!I18</f>
        <v>0</v>
      </c>
      <c r="I142" s="129">
        <f>'2nd Innings'!J18</f>
        <v>0</v>
      </c>
      <c r="J142" s="129">
        <f>'2nd Innings'!K18</f>
        <v>0</v>
      </c>
      <c r="K142" s="123">
        <f>SUMIF('2nd Innings'!O8:O18,VLOOKUP(11,'2nd Innings'!A$8:B$18,2,FALSE),'2nd Innings'!Q$8:Q$18)+SUMIF('2nd Innings'!P$8:P$18,VLOOKUP(11,'2nd Innings'!A$8:B$18,2,FALSE),'2nd Innings'!Q$8:Q$18)</f>
        <v>0</v>
      </c>
      <c r="L142" s="123">
        <f>COUNTIFS($C$8:$C$18,"caught",$D$8:$D$18,VLOOKUP(11,'2nd Innings'!$A$8:$B$18,2,FALSE))</f>
        <v>0</v>
      </c>
      <c r="M142" s="123">
        <f>COUNTIFS($C$8:$C$18,"Run Out",$D$8:$D$18,VLOOKUP(11,'2nd Innings'!$A$8:$B$18,2,FALSE))</f>
        <v>0</v>
      </c>
      <c r="N142" s="123">
        <f>COUNTIFS($C$8:$C$18,"Stumped",$D$8:$D$18,VLOOKUP(11,'2nd Innings'!$A$8:$B$18,2,FALSE))</f>
        <v>0</v>
      </c>
      <c r="O142" s="123">
        <f t="shared" si="16"/>
        <v>0</v>
      </c>
      <c r="P142" s="114">
        <f t="shared" si="17"/>
        <v>0</v>
      </c>
      <c r="Q142" s="123">
        <f t="shared" si="18"/>
        <v>0</v>
      </c>
      <c r="R142" s="123" t="e">
        <f>VLOOKUP(VLOOKUP(11,'2nd Innings'!$A$8:$B$18,2,FALSE),$D$26:$N$36,2,FALSE)</f>
        <v>#N/A</v>
      </c>
      <c r="S142" s="123" t="e">
        <f>VLOOKUP(VLOOKUP(11,'2nd Innings'!$A$8:$B$18,2,FALSE),$D$26:$N$36,3,FALSE)</f>
        <v>#N/A</v>
      </c>
      <c r="T142" s="123" t="e">
        <f>VLOOKUP(VLOOKUP(11,'2nd Innings'!$A$8:$B$18,2,FALSE),$D$26:$N$36,4,FALSE)</f>
        <v>#N/A</v>
      </c>
      <c r="U142" s="123" t="e">
        <f>VLOOKUP(VLOOKUP(11,'2nd Innings'!$A$8:$B$18,2,FALSE),$D$26:$N$36,5,FALSE)</f>
        <v>#N/A</v>
      </c>
      <c r="V142" s="123" t="e">
        <f>VLOOKUP(VLOOKUP(11,'2nd Innings'!$A$8:$B$18,2,FALSE),$D$26:$N$36,6,FALSE)</f>
        <v>#N/A</v>
      </c>
      <c r="W142" s="123" t="e">
        <f>VLOOKUP(VLOOKUP(11,'2nd Innings'!$A$8:$B$18,2,FALSE),$D$26:$N$36,7,FALSE)</f>
        <v>#N/A</v>
      </c>
      <c r="X142" s="123" t="e">
        <f>VLOOKUP(VLOOKUP(11,'2nd Innings'!$A$8:$B$18,2,FALSE),$D$26:$N$36,10,FALSE)</f>
        <v>#N/A</v>
      </c>
      <c r="Y142" s="123" t="e">
        <f>VLOOKUP(VLOOKUP(11,'2nd Innings'!$A$8:$B$18,2,FALSE),$D$26:$N$36,11,FALSE)</f>
        <v>#N/A</v>
      </c>
      <c r="Z142" s="123">
        <f t="shared" si="5"/>
        <v>0</v>
      </c>
      <c r="AA142" s="123">
        <f t="shared" si="19"/>
        <v>0</v>
      </c>
      <c r="AB142" s="123">
        <f t="shared" si="20"/>
        <v>0</v>
      </c>
      <c r="AC142" s="123">
        <f t="shared" si="21"/>
        <v>0</v>
      </c>
      <c r="AD142" s="124"/>
      <c r="AE142" s="124" t="e">
        <f t="shared" si="22"/>
        <v>#DIV/0!</v>
      </c>
      <c r="AF142" s="125" t="e">
        <f t="shared" si="23"/>
        <v>#DIV/0!</v>
      </c>
      <c r="AG142" s="126" t="e">
        <f t="shared" si="7"/>
        <v>#N/A</v>
      </c>
      <c r="AH142" s="127">
        <f t="shared" si="24"/>
        <v>0</v>
      </c>
      <c r="AI142" s="128" t="e">
        <f t="shared" si="25"/>
        <v>#DIV/0!</v>
      </c>
      <c r="AJ142" s="124" t="e">
        <f t="shared" si="26"/>
        <v>#DIV/0!</v>
      </c>
      <c r="AK142" s="124" t="e">
        <f t="shared" si="27"/>
        <v>#DIV/0!</v>
      </c>
      <c r="AL142" s="129" t="e">
        <f t="shared" si="8"/>
        <v>#N/A</v>
      </c>
      <c r="AM142" s="129" t="e">
        <f t="shared" si="31"/>
        <v>#N/A</v>
      </c>
      <c r="AN142" s="130" t="e">
        <f t="shared" si="32"/>
        <v>#N/A</v>
      </c>
      <c r="AO142" s="130" t="e">
        <f>(1-NORMDIST(AN142,$P$32,($P$32/4),TRUE))*(R142/($E$37+'2nd Innings'!$E$37))</f>
        <v>#N/A</v>
      </c>
      <c r="AP142" s="129" t="e">
        <f>(AO142/AO$143)*(200-(8*($H$37+'2nd Innings'!$H$37)))</f>
        <v>#N/A</v>
      </c>
      <c r="AQ142" s="124" t="e">
        <f t="shared" si="9"/>
        <v>#N/A</v>
      </c>
      <c r="AR142" s="123">
        <f>'2nd Innings'!$F$22</f>
        <v>0</v>
      </c>
      <c r="AS142" s="131">
        <f>IF(A142=$C$34,1,0)</f>
        <v>1</v>
      </c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</row>
    <row r="143" spans="1:7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89" t="e">
        <f t="shared" ref="AD143:AI143" si="52">SUM(AD121:AD142)</f>
        <v>#DIV/0!</v>
      </c>
      <c r="AE143" s="89" t="e">
        <f t="shared" si="52"/>
        <v>#DIV/0!</v>
      </c>
      <c r="AF143" s="89" t="e">
        <f t="shared" si="52"/>
        <v>#DIV/0!</v>
      </c>
      <c r="AG143" s="89" t="e">
        <f t="shared" si="52"/>
        <v>#N/A</v>
      </c>
      <c r="AH143" s="89">
        <f t="shared" si="52"/>
        <v>0</v>
      </c>
      <c r="AI143" s="89" t="e">
        <f t="shared" si="52"/>
        <v>#DIV/0!</v>
      </c>
      <c r="AJ143" s="61"/>
      <c r="AK143" s="61"/>
      <c r="AL143" s="61"/>
      <c r="AM143" s="61"/>
      <c r="AN143" s="61" t="e">
        <f>SUM(AM121:AM142)</f>
        <v>#N/A</v>
      </c>
      <c r="AO143" s="61" t="e">
        <f>SUM(AO121:AO142)</f>
        <v>#N/A</v>
      </c>
      <c r="AP143" s="61" t="e">
        <f>SUM(AP121:AP142)</f>
        <v>#N/A</v>
      </c>
      <c r="AQ143" s="61" t="e">
        <f>SUM(AQ121:AQ142)</f>
        <v>#N/A</v>
      </c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</row>
    <row r="144" spans="1:7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</row>
    <row r="145" spans="1:70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</row>
    <row r="146" spans="1:70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</row>
    <row r="147" spans="1:70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</row>
    <row r="148" spans="1:70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</row>
    <row r="149" spans="1:70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</row>
    <row r="150" spans="1:70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</row>
    <row r="151" spans="1:70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</row>
    <row r="152" spans="1:70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</row>
    <row r="153" spans="1:70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</row>
    <row r="154" spans="1:70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</row>
    <row r="155" spans="1:70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</row>
    <row r="156" spans="1:70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</row>
    <row r="157" spans="1:70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</row>
    <row r="158" spans="1:70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</row>
    <row r="159" spans="1:70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</row>
    <row r="160" spans="1:70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</row>
    <row r="161" spans="1:70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</row>
    <row r="162" spans="1:70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</row>
    <row r="163" spans="1:70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</row>
    <row r="164" spans="1:70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</row>
    <row r="165" spans="1:70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</row>
    <row r="166" spans="1:70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</row>
    <row r="167" spans="1:70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</row>
    <row r="168" spans="1:70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</row>
    <row r="169" spans="1:70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</row>
    <row r="170" spans="1:70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</row>
    <row r="171" spans="1:70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</row>
    <row r="172" spans="1:70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</row>
    <row r="173" spans="1:70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</row>
    <row r="174" spans="1:70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</row>
    <row r="175" spans="1:70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</row>
    <row r="176" spans="1:70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</row>
    <row r="177" spans="1:70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</row>
    <row r="178" spans="1:70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</row>
    <row r="179" spans="1:70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</row>
    <row r="180" spans="1:70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</row>
    <row r="181" spans="1:70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</row>
    <row r="182" spans="1:70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</row>
    <row r="183" spans="1:70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</row>
    <row r="184" spans="1:70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</row>
    <row r="185" spans="1:70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</row>
    <row r="186" spans="1:70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</row>
    <row r="187" spans="1:70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</row>
    <row r="188" spans="1:70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</row>
    <row r="189" spans="1:70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</row>
    <row r="190" spans="1:70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</row>
    <row r="191" spans="1:70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</row>
    <row r="192" spans="1:70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</row>
    <row r="193" spans="1:70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</row>
    <row r="194" spans="1:70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</row>
    <row r="195" spans="1:70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</row>
    <row r="196" spans="1:70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</row>
    <row r="197" spans="1:70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</row>
    <row r="198" spans="1:70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</row>
    <row r="199" spans="1:70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</row>
    <row r="200" spans="1:70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</row>
    <row r="201" spans="1:70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</row>
    <row r="202" spans="1:70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</row>
    <row r="203" spans="1:70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</row>
    <row r="204" spans="1:70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</row>
    <row r="205" spans="1:70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</row>
    <row r="206" spans="1:70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</row>
    <row r="207" spans="1:70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</row>
    <row r="208" spans="1:70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</row>
    <row r="209" spans="1:70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</row>
    <row r="210" spans="1:70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</row>
    <row r="211" spans="1:70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</row>
    <row r="212" spans="1:70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</row>
    <row r="213" spans="1:70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</row>
    <row r="214" spans="1:70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</row>
    <row r="215" spans="1:70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</row>
    <row r="216" spans="1:70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</row>
    <row r="217" spans="1:70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</row>
    <row r="218" spans="1:70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</row>
    <row r="219" spans="1:70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</row>
    <row r="220" spans="1:70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</row>
    <row r="221" spans="1:70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</row>
    <row r="222" spans="1:70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</row>
    <row r="223" spans="1:70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</row>
    <row r="224" spans="1:70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</row>
    <row r="225" spans="1:70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</row>
    <row r="226" spans="1:70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</row>
    <row r="227" spans="1:70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</row>
    <row r="228" spans="1:70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</row>
    <row r="229" spans="1:70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</row>
    <row r="230" spans="1:70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</row>
    <row r="231" spans="1:70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</row>
    <row r="232" spans="1:70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</row>
    <row r="233" spans="1:70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</row>
    <row r="234" spans="1:70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</row>
    <row r="235" spans="1:70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</row>
    <row r="236" spans="1:70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</row>
    <row r="237" spans="1:70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</row>
    <row r="238" spans="1:70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</row>
    <row r="239" spans="1:70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</row>
    <row r="240" spans="1:70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</row>
    <row r="241" spans="1:70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</row>
    <row r="242" spans="1:70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</row>
    <row r="243" spans="1:70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</row>
    <row r="244" spans="1:70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</row>
    <row r="245" spans="1:70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</row>
    <row r="246" spans="1:70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</row>
    <row r="247" spans="1:70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</row>
    <row r="248" spans="1:70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</row>
    <row r="249" spans="1:70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</row>
    <row r="250" spans="1:70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</row>
    <row r="251" spans="1:70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</row>
    <row r="252" spans="1:70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</row>
    <row r="253" spans="1:70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</row>
    <row r="254" spans="1:70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</row>
    <row r="255" spans="1:70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</row>
    <row r="256" spans="1:70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</row>
    <row r="257" spans="1:70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</row>
    <row r="258" spans="1:70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</row>
    <row r="259" spans="1:70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</row>
    <row r="260" spans="1:70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</row>
    <row r="261" spans="1:70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</row>
    <row r="262" spans="1:70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</row>
    <row r="263" spans="1:70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</row>
    <row r="264" spans="1:70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</row>
    <row r="265" spans="1:70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</row>
    <row r="266" spans="1:70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</row>
    <row r="267" spans="1:70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</row>
    <row r="268" spans="1:70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</row>
    <row r="269" spans="1:70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</row>
    <row r="270" spans="1:70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</row>
    <row r="271" spans="1:70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</row>
    <row r="272" spans="1:70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</row>
    <row r="273" spans="1:70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</row>
    <row r="274" spans="1:70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</row>
    <row r="275" spans="1:70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</row>
    <row r="276" spans="1:70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</row>
    <row r="277" spans="1:70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</row>
    <row r="278" spans="1:70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</row>
    <row r="279" spans="1:70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</row>
    <row r="280" spans="1:70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</row>
    <row r="281" spans="1:70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</row>
    <row r="282" spans="1:70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</row>
    <row r="283" spans="1:70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</row>
    <row r="284" spans="1:70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</row>
    <row r="285" spans="1:70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</row>
    <row r="286" spans="1:70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</row>
    <row r="287" spans="1:70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</row>
    <row r="288" spans="1:70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</row>
    <row r="289" spans="1:70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</row>
    <row r="290" spans="1:70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</row>
    <row r="291" spans="1:70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</row>
    <row r="292" spans="1:70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</row>
    <row r="293" spans="1:70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</row>
    <row r="294" spans="1:70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</row>
    <row r="295" spans="1:70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</row>
    <row r="296" spans="1:70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</row>
    <row r="297" spans="1:70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</row>
    <row r="298" spans="1:70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</row>
    <row r="299" spans="1:70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</row>
    <row r="300" spans="1:70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</row>
    <row r="301" spans="1:70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</row>
    <row r="302" spans="1:70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</row>
    <row r="303" spans="1:70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</row>
    <row r="304" spans="1:70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</row>
    <row r="305" spans="1:70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</row>
    <row r="306" spans="1:70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</row>
    <row r="307" spans="1:70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</row>
    <row r="308" spans="1:70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</row>
    <row r="309" spans="1:70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</row>
    <row r="310" spans="1:70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</row>
    <row r="311" spans="1:70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</row>
    <row r="312" spans="1:70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</row>
    <row r="313" spans="1:70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</row>
    <row r="314" spans="1:70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</row>
    <row r="315" spans="1:70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</row>
    <row r="316" spans="1:70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</row>
    <row r="317" spans="1:70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</row>
    <row r="318" spans="1:70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</row>
    <row r="319" spans="1:70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</row>
    <row r="320" spans="1:70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</row>
    <row r="321" spans="1:70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</row>
    <row r="322" spans="1:70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</row>
    <row r="323" spans="1:70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</row>
    <row r="324" spans="1:70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</row>
    <row r="325" spans="1:70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</row>
    <row r="326" spans="1:70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</row>
    <row r="327" spans="1:70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</row>
    <row r="328" spans="1:70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</row>
    <row r="329" spans="1:70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</row>
    <row r="330" spans="1:70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</row>
    <row r="331" spans="1:70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</row>
    <row r="332" spans="1:70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</row>
    <row r="333" spans="1:70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</row>
    <row r="334" spans="1:70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</row>
    <row r="335" spans="1:70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</row>
    <row r="336" spans="1:70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</row>
    <row r="337" spans="1:70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</row>
    <row r="338" spans="1:70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</row>
    <row r="339" spans="1:70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</row>
    <row r="340" spans="1:70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</row>
    <row r="341" spans="1:70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</row>
    <row r="342" spans="1:70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</row>
    <row r="343" spans="1:70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</row>
    <row r="344" spans="1:70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</row>
    <row r="345" spans="1:70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</row>
    <row r="346" spans="1:70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</row>
    <row r="347" spans="1:70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</row>
    <row r="348" spans="1:70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</row>
    <row r="349" spans="1:70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</row>
    <row r="350" spans="1:70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</row>
    <row r="351" spans="1:70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</row>
    <row r="352" spans="1:70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</row>
    <row r="353" spans="1:70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</row>
    <row r="354" spans="1:70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</row>
    <row r="355" spans="1:70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</row>
    <row r="356" spans="1:70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</row>
    <row r="357" spans="1:70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</row>
    <row r="358" spans="1:70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</row>
    <row r="359" spans="1:70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</row>
    <row r="360" spans="1:70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</row>
    <row r="361" spans="1:70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</row>
    <row r="362" spans="1:70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</row>
    <row r="363" spans="1:70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</row>
    <row r="364" spans="1:70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</row>
    <row r="365" spans="1:70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</row>
    <row r="366" spans="1:70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</row>
    <row r="367" spans="1:70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</row>
    <row r="368" spans="1:70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</row>
    <row r="369" spans="1:70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</row>
    <row r="370" spans="1:70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</row>
    <row r="371" spans="1:70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</row>
    <row r="372" spans="1:70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</row>
    <row r="373" spans="1:70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M373" s="61"/>
      <c r="N373" s="61"/>
      <c r="O373" s="61"/>
      <c r="P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</row>
  </sheetData>
  <sheetProtection password="C2B7" sheet="1" objects="1" scenarios="1" selectLockedCells="1"/>
  <sortState ref="M58:M81">
    <sortCondition ref="M81"/>
  </sortState>
  <mergeCells count="3">
    <mergeCell ref="A1:P1"/>
    <mergeCell ref="AA119:AF119"/>
    <mergeCell ref="AG119:AO119"/>
  </mergeCells>
  <dataValidations xWindow="360" yWindow="210" count="16">
    <dataValidation type="list" errorStyle="warning" allowBlank="1" showInputMessage="1" showErrorMessage="1" prompt="Use drop down box to select from your team list once Team 1 in selected in cell B3_x000a_" sqref="B8:B19">
      <formula1>INDIRECT(B$3)</formula1>
    </dataValidation>
    <dataValidation type="list" allowBlank="1" showInputMessage="1" showErrorMessage="1" prompt="Bowlers names are available from the team list once the fielding team has been entered into cell B4" sqref="D26:D36">
      <formula1>INDIRECT(B$4)</formula1>
    </dataValidation>
    <dataValidation type="list" allowBlank="1" showInputMessage="1" showErrorMessage="1" prompt="Fielders are available from their club list once the fielding team is selected in cell B4" sqref="D8:D18">
      <formula1>INDIRECT(B$4)</formula1>
    </dataValidation>
    <dataValidation type="list" allowBlank="1" showInputMessage="1" showErrorMessage="1" prompt="Fielders are available from their club list once the fielding team is selected in cell B4" sqref="C34:C35">
      <formula1>INDIRECT(B$4)</formula1>
    </dataValidation>
    <dataValidation type="list" allowBlank="1" showInputMessage="1" showErrorMessage="1" prompt="select team winning toss from those entered in B3 and B4" sqref="H3">
      <formula1>$B$3:$B$4</formula1>
    </dataValidation>
    <dataValidation type="list" allowBlank="1" showInputMessage="1" showErrorMessage="1" prompt="The not out batsman still at the crease_x000a_" sqref="P8:P18">
      <formula1>$B$8:$B$18</formula1>
    </dataValidation>
    <dataValidation type="list" allowBlank="1" showInputMessage="1" showErrorMessage="1" prompt="bowlers must be entered in the bowling section before they are available here" sqref="E8:E18">
      <formula1>$D$26:$D$36</formula1>
    </dataValidation>
    <dataValidation type="list" allowBlank="1" showInputMessage="1" showErrorMessage="1" prompt="select team batting second" sqref="B4">
      <formula1>$A$40:$A$55</formula1>
    </dataValidation>
    <dataValidation type="list" allowBlank="1" showInputMessage="1" showErrorMessage="1" prompt="select the choice of the toss winner_x000a_" sqref="H4">
      <formula1>$B$40:$B$41</formula1>
    </dataValidation>
    <dataValidation type="list" allowBlank="1" showInputMessage="1" showErrorMessage="1" prompt="select game type from list_x000a_" sqref="B2">
      <formula1>$C$40:$C$42</formula1>
    </dataValidation>
    <dataValidation type="list" allowBlank="1" showInputMessage="1" showErrorMessage="1" prompt="select ground" sqref="B5">
      <formula1>$B$45:$B$50</formula1>
    </dataValidation>
    <dataValidation type="list" allowBlank="1" showInputMessage="1" showErrorMessage="1" prompt="Select method of dismissal from list_x000a_" sqref="C8:C18">
      <formula1>$C$45:$C$53</formula1>
    </dataValidation>
    <dataValidation type="list" allowBlank="1" showInputMessage="1" showErrorMessage="1" prompt="The dismissed batsman" sqref="O8:O18">
      <formula1>$B$8:$B$18</formula1>
    </dataValidation>
    <dataValidation allowBlank="1" showInputMessage="1" showErrorMessage="1" prompt="These cells automatically fill out when the runs and BF are filled in._x000a_" sqref="H8:H18"/>
    <dataValidation type="list" allowBlank="1" showInputMessage="1" showErrorMessage="1" prompt="select team batting first" sqref="B3">
      <formula1>$A$40:$A$55</formula1>
    </dataValidation>
    <dataValidation type="list" allowBlank="1" showInputMessage="1" showErrorMessage="1" sqref="F22">
      <formula1>$D$45:$D$48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73"/>
  <sheetViews>
    <sheetView topLeftCell="B1" zoomScale="75" zoomScaleNormal="75" workbookViewId="0">
      <selection activeCell="F22" sqref="F22"/>
    </sheetView>
  </sheetViews>
  <sheetFormatPr defaultRowHeight="15"/>
  <cols>
    <col min="1" max="1" width="9.140625" style="23"/>
    <col min="2" max="2" width="27" style="23" customWidth="1"/>
    <col min="3" max="3" width="18.28515625" style="23" customWidth="1"/>
    <col min="4" max="4" width="21" style="23" customWidth="1"/>
    <col min="5" max="5" width="17.7109375" style="23" customWidth="1"/>
    <col min="6" max="6" width="4.42578125" style="23" customWidth="1"/>
    <col min="7" max="7" width="4.85546875" style="23" customWidth="1"/>
    <col min="8" max="8" width="7" style="23" customWidth="1"/>
    <col min="9" max="9" width="3.85546875" style="23" customWidth="1"/>
    <col min="10" max="10" width="4.85546875" style="23" customWidth="1"/>
    <col min="11" max="16384" width="9.140625" style="23"/>
  </cols>
  <sheetData>
    <row r="1" spans="1:17" ht="26.25">
      <c r="A1" s="171" t="s">
        <v>307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7">
      <c r="A2" s="23" t="s">
        <v>56</v>
      </c>
      <c r="B2" s="5"/>
      <c r="E2" s="23" t="s">
        <v>0</v>
      </c>
      <c r="F2" s="151"/>
      <c r="I2" s="24"/>
      <c r="K2" s="152" t="s">
        <v>66</v>
      </c>
      <c r="L2" s="6"/>
      <c r="M2" s="6"/>
      <c r="N2" s="6"/>
      <c r="O2" s="6"/>
      <c r="P2" s="7"/>
    </row>
    <row r="3" spans="1:17">
      <c r="A3" s="23" t="s">
        <v>3</v>
      </c>
      <c r="B3" s="5"/>
      <c r="E3" s="23" t="s">
        <v>2</v>
      </c>
      <c r="F3" s="5"/>
      <c r="I3" s="24"/>
      <c r="K3" s="153"/>
      <c r="L3" s="8"/>
      <c r="M3" s="8"/>
      <c r="N3" s="8"/>
      <c r="O3" s="8"/>
      <c r="P3" s="9"/>
    </row>
    <row r="4" spans="1:17">
      <c r="A4" s="23" t="s">
        <v>4</v>
      </c>
      <c r="B4" s="5"/>
      <c r="E4" s="23" t="s">
        <v>1</v>
      </c>
      <c r="F4" s="5"/>
      <c r="I4" s="24"/>
      <c r="K4" s="154"/>
      <c r="L4" s="10"/>
      <c r="M4" s="10"/>
      <c r="N4" s="10"/>
      <c r="O4" s="10"/>
      <c r="P4" s="11"/>
    </row>
    <row r="5" spans="1:17">
      <c r="A5" s="23" t="s">
        <v>60</v>
      </c>
      <c r="B5" s="5"/>
    </row>
    <row r="6" spans="1:17" ht="15.75" thickBot="1">
      <c r="A6" s="23" t="s">
        <v>34</v>
      </c>
      <c r="K6" s="23" t="s">
        <v>18</v>
      </c>
    </row>
    <row r="7" spans="1:17">
      <c r="A7" s="25" t="s">
        <v>6</v>
      </c>
      <c r="B7" s="26" t="s">
        <v>7</v>
      </c>
      <c r="C7" s="26" t="s">
        <v>8</v>
      </c>
      <c r="D7" s="26" t="s">
        <v>67</v>
      </c>
      <c r="E7" s="26" t="s">
        <v>9</v>
      </c>
      <c r="F7" s="26" t="s">
        <v>10</v>
      </c>
      <c r="G7" s="26" t="s">
        <v>12</v>
      </c>
      <c r="H7" s="26" t="s">
        <v>28</v>
      </c>
      <c r="I7" s="26" t="s">
        <v>11</v>
      </c>
      <c r="J7" s="26" t="s">
        <v>13</v>
      </c>
      <c r="K7" s="158" t="s">
        <v>81</v>
      </c>
      <c r="M7" s="27" t="s">
        <v>20</v>
      </c>
      <c r="N7" s="28" t="s">
        <v>19</v>
      </c>
      <c r="O7" s="28" t="s">
        <v>74</v>
      </c>
      <c r="P7" s="29" t="s">
        <v>75</v>
      </c>
      <c r="Q7" s="112" t="s">
        <v>379</v>
      </c>
    </row>
    <row r="8" spans="1:17">
      <c r="A8" s="30">
        <v>1</v>
      </c>
      <c r="B8" s="8"/>
      <c r="C8" s="8"/>
      <c r="D8" s="75"/>
      <c r="E8" s="75"/>
      <c r="F8" s="8"/>
      <c r="G8" s="8"/>
      <c r="H8" s="4" t="e">
        <f>100*F8/G8</f>
        <v>#DIV/0!</v>
      </c>
      <c r="I8" s="87"/>
      <c r="J8" s="8"/>
      <c r="K8" s="97"/>
      <c r="M8" s="31">
        <v>1</v>
      </c>
      <c r="N8" s="8"/>
      <c r="O8" s="8"/>
      <c r="P8" s="9"/>
      <c r="Q8" s="95">
        <f>N8</f>
        <v>0</v>
      </c>
    </row>
    <row r="9" spans="1:17">
      <c r="A9" s="30">
        <v>2</v>
      </c>
      <c r="B9" s="8"/>
      <c r="C9" s="8"/>
      <c r="D9" s="75"/>
      <c r="E9" s="75"/>
      <c r="F9" s="8"/>
      <c r="G9" s="8"/>
      <c r="H9" s="4" t="e">
        <f t="shared" ref="H9:H18" si="0">100*F9/G9</f>
        <v>#DIV/0!</v>
      </c>
      <c r="I9" s="87"/>
      <c r="J9" s="8"/>
      <c r="K9" s="97"/>
      <c r="M9" s="31">
        <v>2</v>
      </c>
      <c r="N9" s="8"/>
      <c r="O9" s="8"/>
      <c r="P9" s="9"/>
      <c r="Q9" s="95">
        <f>N9-N8</f>
        <v>0</v>
      </c>
    </row>
    <row r="10" spans="1:17">
      <c r="A10" s="30">
        <v>3</v>
      </c>
      <c r="B10" s="8"/>
      <c r="C10" s="8"/>
      <c r="D10" s="75"/>
      <c r="E10" s="75"/>
      <c r="F10" s="8"/>
      <c r="G10" s="8"/>
      <c r="H10" s="4" t="e">
        <f t="shared" si="0"/>
        <v>#DIV/0!</v>
      </c>
      <c r="I10" s="87"/>
      <c r="J10" s="8"/>
      <c r="K10" s="97"/>
      <c r="M10" s="31">
        <v>3</v>
      </c>
      <c r="N10" s="8"/>
      <c r="O10" s="8"/>
      <c r="P10" s="9"/>
      <c r="Q10" s="95">
        <f t="shared" ref="Q10:Q17" si="1">N10-N9</f>
        <v>0</v>
      </c>
    </row>
    <row r="11" spans="1:17">
      <c r="A11" s="30">
        <v>4</v>
      </c>
      <c r="B11" s="8"/>
      <c r="C11" s="8"/>
      <c r="D11" s="75"/>
      <c r="E11" s="75"/>
      <c r="F11" s="8"/>
      <c r="G11" s="8"/>
      <c r="H11" s="4" t="e">
        <f t="shared" si="0"/>
        <v>#DIV/0!</v>
      </c>
      <c r="I11" s="87"/>
      <c r="J11" s="8"/>
      <c r="K11" s="97"/>
      <c r="M11" s="31">
        <v>4</v>
      </c>
      <c r="N11" s="8"/>
      <c r="O11" s="8"/>
      <c r="P11" s="9"/>
      <c r="Q11" s="95">
        <f t="shared" si="1"/>
        <v>0</v>
      </c>
    </row>
    <row r="12" spans="1:17">
      <c r="A12" s="30">
        <v>5</v>
      </c>
      <c r="B12" s="8"/>
      <c r="C12" s="8"/>
      <c r="D12" s="75"/>
      <c r="E12" s="75"/>
      <c r="F12" s="8"/>
      <c r="G12" s="8"/>
      <c r="H12" s="4" t="e">
        <f t="shared" si="0"/>
        <v>#DIV/0!</v>
      </c>
      <c r="I12" s="87"/>
      <c r="J12" s="8"/>
      <c r="K12" s="97"/>
      <c r="M12" s="31">
        <v>5</v>
      </c>
      <c r="N12" s="8"/>
      <c r="O12" s="8"/>
      <c r="P12" s="9"/>
      <c r="Q12" s="95">
        <f t="shared" si="1"/>
        <v>0</v>
      </c>
    </row>
    <row r="13" spans="1:17">
      <c r="A13" s="30">
        <v>6</v>
      </c>
      <c r="B13" s="8"/>
      <c r="C13" s="8"/>
      <c r="D13" s="75"/>
      <c r="E13" s="75"/>
      <c r="F13" s="8"/>
      <c r="G13" s="8"/>
      <c r="H13" s="4" t="e">
        <f t="shared" si="0"/>
        <v>#DIV/0!</v>
      </c>
      <c r="I13" s="87"/>
      <c r="J13" s="8"/>
      <c r="K13" s="97"/>
      <c r="M13" s="31">
        <v>6</v>
      </c>
      <c r="N13" s="8"/>
      <c r="O13" s="8"/>
      <c r="P13" s="9"/>
      <c r="Q13" s="95">
        <f t="shared" si="1"/>
        <v>0</v>
      </c>
    </row>
    <row r="14" spans="1:17">
      <c r="A14" s="30">
        <v>7</v>
      </c>
      <c r="B14" s="8"/>
      <c r="C14" s="8"/>
      <c r="D14" s="75"/>
      <c r="E14" s="75"/>
      <c r="F14" s="8"/>
      <c r="G14" s="8"/>
      <c r="H14" s="4" t="e">
        <f t="shared" si="0"/>
        <v>#DIV/0!</v>
      </c>
      <c r="I14" s="87"/>
      <c r="J14" s="8"/>
      <c r="K14" s="97"/>
      <c r="M14" s="31">
        <v>7</v>
      </c>
      <c r="N14" s="8"/>
      <c r="O14" s="8"/>
      <c r="P14" s="9"/>
      <c r="Q14" s="95">
        <f t="shared" si="1"/>
        <v>0</v>
      </c>
    </row>
    <row r="15" spans="1:17">
      <c r="A15" s="30">
        <v>8</v>
      </c>
      <c r="B15" s="8"/>
      <c r="C15" s="8"/>
      <c r="D15" s="75"/>
      <c r="E15" s="75"/>
      <c r="F15" s="8"/>
      <c r="G15" s="8"/>
      <c r="H15" s="4" t="e">
        <f t="shared" si="0"/>
        <v>#DIV/0!</v>
      </c>
      <c r="I15" s="87"/>
      <c r="J15" s="8"/>
      <c r="K15" s="97"/>
      <c r="M15" s="31">
        <v>8</v>
      </c>
      <c r="N15" s="8"/>
      <c r="O15" s="8"/>
      <c r="P15" s="9"/>
      <c r="Q15" s="95">
        <f t="shared" si="1"/>
        <v>0</v>
      </c>
    </row>
    <row r="16" spans="1:17">
      <c r="A16" s="30">
        <v>9</v>
      </c>
      <c r="B16" s="8"/>
      <c r="C16" s="8"/>
      <c r="D16" s="75"/>
      <c r="E16" s="75"/>
      <c r="F16" s="8"/>
      <c r="G16" s="8"/>
      <c r="H16" s="4" t="e">
        <f t="shared" si="0"/>
        <v>#DIV/0!</v>
      </c>
      <c r="I16" s="87"/>
      <c r="J16" s="8"/>
      <c r="K16" s="97"/>
      <c r="M16" s="31">
        <v>9</v>
      </c>
      <c r="N16" s="8"/>
      <c r="O16" s="8"/>
      <c r="P16" s="9"/>
      <c r="Q16" s="95">
        <f t="shared" si="1"/>
        <v>0</v>
      </c>
    </row>
    <row r="17" spans="1:17">
      <c r="A17" s="30">
        <v>10</v>
      </c>
      <c r="B17" s="8"/>
      <c r="C17" s="8"/>
      <c r="D17" s="75"/>
      <c r="E17" s="75"/>
      <c r="F17" s="8"/>
      <c r="G17" s="8"/>
      <c r="H17" s="4" t="e">
        <f t="shared" si="0"/>
        <v>#DIV/0!</v>
      </c>
      <c r="I17" s="87"/>
      <c r="J17" s="8"/>
      <c r="K17" s="97"/>
      <c r="M17" s="31">
        <v>10</v>
      </c>
      <c r="N17" s="8"/>
      <c r="O17" s="8"/>
      <c r="P17" s="9"/>
      <c r="Q17" s="95">
        <f t="shared" si="1"/>
        <v>0</v>
      </c>
    </row>
    <row r="18" spans="1:17">
      <c r="A18" s="30">
        <v>11</v>
      </c>
      <c r="B18" s="8"/>
      <c r="C18" s="8"/>
      <c r="D18" s="75"/>
      <c r="E18" s="75"/>
      <c r="F18" s="8"/>
      <c r="G18" s="8"/>
      <c r="H18" s="4" t="e">
        <f t="shared" si="0"/>
        <v>#DIV/0!</v>
      </c>
      <c r="I18" s="87"/>
      <c r="J18" s="8"/>
      <c r="K18" s="97"/>
      <c r="M18" s="159" t="s">
        <v>385</v>
      </c>
      <c r="N18" s="136">
        <f>F20</f>
        <v>0</v>
      </c>
      <c r="O18" s="13"/>
      <c r="P18" s="13"/>
      <c r="Q18" s="95">
        <f>N18-MAX(N8:N17)</f>
        <v>0</v>
      </c>
    </row>
    <row r="19" spans="1:17" ht="15.75" thickBot="1">
      <c r="A19" s="33" t="s">
        <v>94</v>
      </c>
      <c r="B19" s="155"/>
      <c r="C19" s="34"/>
      <c r="D19" s="34"/>
      <c r="E19" s="35" t="s">
        <v>79</v>
      </c>
      <c r="F19" s="34">
        <f>SUM(D20:D23)</f>
        <v>0</v>
      </c>
      <c r="G19" s="34"/>
      <c r="H19" s="34"/>
      <c r="I19" s="34"/>
      <c r="J19" s="34"/>
      <c r="K19" s="36"/>
      <c r="Q19" s="95"/>
    </row>
    <row r="20" spans="1:17" ht="15.75" thickBot="1">
      <c r="A20" s="37" t="s">
        <v>14</v>
      </c>
      <c r="B20" s="34"/>
      <c r="C20" s="34"/>
      <c r="D20" s="13"/>
      <c r="E20" s="38" t="s">
        <v>78</v>
      </c>
      <c r="F20" s="39">
        <f>SUM(F8:F19)</f>
        <v>0</v>
      </c>
      <c r="G20" s="40" t="s">
        <v>76</v>
      </c>
      <c r="H20" s="41">
        <f>COUNTA(C8:C18)-COUNTIF(C8:C18,"Not Out")</f>
        <v>0</v>
      </c>
      <c r="I20" s="42" t="s">
        <v>77</v>
      </c>
      <c r="J20" s="43"/>
      <c r="K20" s="36"/>
      <c r="M20" s="27" t="s">
        <v>35</v>
      </c>
      <c r="N20" s="6"/>
      <c r="O20" s="6"/>
      <c r="P20" s="7"/>
    </row>
    <row r="21" spans="1:17" ht="15.75" thickBot="1">
      <c r="A21" s="37" t="s">
        <v>15</v>
      </c>
      <c r="B21" s="34"/>
      <c r="C21" s="34"/>
      <c r="D21" s="13"/>
      <c r="E21" s="44"/>
      <c r="F21" s="34"/>
      <c r="G21" s="34"/>
      <c r="H21" s="34"/>
      <c r="I21" s="34"/>
      <c r="J21" s="34"/>
      <c r="K21" s="36"/>
      <c r="M21" s="32" t="s">
        <v>36</v>
      </c>
      <c r="N21" s="10"/>
      <c r="O21" s="10"/>
      <c r="P21" s="11"/>
    </row>
    <row r="22" spans="1:17" ht="15.75" thickBot="1">
      <c r="A22" s="37" t="s">
        <v>16</v>
      </c>
      <c r="B22" s="34"/>
      <c r="C22" s="34"/>
      <c r="D22" s="13"/>
      <c r="E22" s="35" t="s">
        <v>408</v>
      </c>
      <c r="F22" s="135"/>
      <c r="G22" s="34"/>
      <c r="H22" s="34"/>
      <c r="I22" s="34"/>
      <c r="J22" s="34"/>
      <c r="K22" s="36"/>
    </row>
    <row r="23" spans="1:17" ht="15.75" thickBot="1">
      <c r="A23" s="45" t="s">
        <v>17</v>
      </c>
      <c r="B23" s="46"/>
      <c r="C23" s="46"/>
      <c r="D23" s="14"/>
      <c r="E23" s="46"/>
      <c r="F23" s="46"/>
      <c r="G23" s="46"/>
      <c r="H23" s="46"/>
      <c r="I23" s="46"/>
      <c r="J23" s="46"/>
      <c r="K23" s="47"/>
      <c r="M23" s="48" t="s">
        <v>50</v>
      </c>
      <c r="N23" s="49"/>
      <c r="O23" s="49"/>
      <c r="P23" s="50" t="str">
        <f>IF(F20-D22-D23-G37=0,"PASS","FAIL")</f>
        <v>PASS</v>
      </c>
    </row>
    <row r="24" spans="1:17" ht="15.75" thickBot="1"/>
    <row r="25" spans="1:17">
      <c r="D25" s="25" t="s">
        <v>83</v>
      </c>
      <c r="E25" s="51" t="s">
        <v>22</v>
      </c>
      <c r="F25" s="52" t="s">
        <v>23</v>
      </c>
      <c r="G25" s="52" t="s">
        <v>24</v>
      </c>
      <c r="H25" s="52" t="s">
        <v>25</v>
      </c>
      <c r="I25" s="52" t="s">
        <v>26</v>
      </c>
      <c r="J25" s="53" t="s">
        <v>27</v>
      </c>
      <c r="K25" s="26" t="s">
        <v>29</v>
      </c>
      <c r="L25" s="54" t="s">
        <v>30</v>
      </c>
      <c r="M25" s="160" t="s">
        <v>81</v>
      </c>
      <c r="N25" s="160" t="s">
        <v>384</v>
      </c>
      <c r="O25" s="161"/>
    </row>
    <row r="26" spans="1:17">
      <c r="B26" s="55" t="s">
        <v>31</v>
      </c>
      <c r="D26" s="77"/>
      <c r="E26" s="78"/>
      <c r="F26" s="79"/>
      <c r="G26" s="79"/>
      <c r="H26" s="79"/>
      <c r="I26" s="80"/>
      <c r="J26" s="81"/>
      <c r="K26" s="34" t="e">
        <f>G26/H26</f>
        <v>#DIV/0!</v>
      </c>
      <c r="L26" s="36" t="e">
        <f>G26/E26</f>
        <v>#DIV/0!</v>
      </c>
      <c r="M26" s="156"/>
      <c r="N26" s="156"/>
      <c r="O26" s="162"/>
    </row>
    <row r="27" spans="1:17">
      <c r="B27" s="15"/>
      <c r="D27" s="77"/>
      <c r="E27" s="78"/>
      <c r="F27" s="79"/>
      <c r="G27" s="79"/>
      <c r="H27" s="79"/>
      <c r="I27" s="80"/>
      <c r="J27" s="81"/>
      <c r="K27" s="34" t="e">
        <f t="shared" ref="K27:K36" si="2">G27/H27</f>
        <v>#DIV/0!</v>
      </c>
      <c r="L27" s="36" t="e">
        <f t="shared" ref="L27:L36" si="3">G27/E27</f>
        <v>#DIV/0!</v>
      </c>
      <c r="M27" s="156"/>
      <c r="N27" s="156"/>
      <c r="O27" s="162"/>
    </row>
    <row r="28" spans="1:17">
      <c r="B28" s="16"/>
      <c r="D28" s="77"/>
      <c r="E28" s="78"/>
      <c r="F28" s="79"/>
      <c r="G28" s="79"/>
      <c r="H28" s="79"/>
      <c r="I28" s="80"/>
      <c r="J28" s="81"/>
      <c r="K28" s="34" t="e">
        <f t="shared" si="2"/>
        <v>#DIV/0!</v>
      </c>
      <c r="L28" s="36" t="e">
        <f t="shared" si="3"/>
        <v>#DIV/0!</v>
      </c>
      <c r="M28" s="156"/>
      <c r="N28" s="156"/>
      <c r="O28" s="162"/>
    </row>
    <row r="29" spans="1:17">
      <c r="D29" s="77"/>
      <c r="E29" s="78"/>
      <c r="F29" s="79"/>
      <c r="G29" s="79"/>
      <c r="H29" s="79"/>
      <c r="I29" s="80"/>
      <c r="J29" s="81"/>
      <c r="K29" s="34" t="e">
        <f t="shared" si="2"/>
        <v>#DIV/0!</v>
      </c>
      <c r="L29" s="36" t="e">
        <f t="shared" si="3"/>
        <v>#DIV/0!</v>
      </c>
      <c r="M29" s="156"/>
      <c r="N29" s="156"/>
      <c r="O29" s="162"/>
    </row>
    <row r="30" spans="1:17">
      <c r="B30" s="55" t="s">
        <v>32</v>
      </c>
      <c r="D30" s="77"/>
      <c r="E30" s="78"/>
      <c r="F30" s="79"/>
      <c r="G30" s="79"/>
      <c r="H30" s="79"/>
      <c r="I30" s="80"/>
      <c r="J30" s="81"/>
      <c r="K30" s="34" t="e">
        <f t="shared" si="2"/>
        <v>#DIV/0!</v>
      </c>
      <c r="L30" s="36" t="e">
        <f t="shared" si="3"/>
        <v>#DIV/0!</v>
      </c>
      <c r="M30" s="156"/>
      <c r="N30" s="156"/>
      <c r="O30" s="162"/>
    </row>
    <row r="31" spans="1:17">
      <c r="B31" s="15"/>
      <c r="D31" s="77"/>
      <c r="E31" s="78"/>
      <c r="F31" s="79"/>
      <c r="G31" s="79"/>
      <c r="H31" s="79"/>
      <c r="I31" s="80"/>
      <c r="J31" s="81"/>
      <c r="K31" s="34" t="e">
        <f t="shared" si="2"/>
        <v>#DIV/0!</v>
      </c>
      <c r="L31" s="36" t="e">
        <f t="shared" si="3"/>
        <v>#DIV/0!</v>
      </c>
      <c r="M31" s="156"/>
      <c r="N31" s="156"/>
      <c r="O31" s="162"/>
    </row>
    <row r="32" spans="1:17">
      <c r="B32" s="16"/>
      <c r="D32" s="77"/>
      <c r="E32" s="78"/>
      <c r="F32" s="79"/>
      <c r="G32" s="79"/>
      <c r="H32" s="79"/>
      <c r="I32" s="80"/>
      <c r="J32" s="81"/>
      <c r="K32" s="34" t="e">
        <f t="shared" si="2"/>
        <v>#DIV/0!</v>
      </c>
      <c r="L32" s="36" t="e">
        <f t="shared" si="3"/>
        <v>#DIV/0!</v>
      </c>
      <c r="M32" s="156"/>
      <c r="N32" s="156"/>
      <c r="O32" s="162"/>
    </row>
    <row r="33" spans="1:15">
      <c r="D33" s="77"/>
      <c r="E33" s="78"/>
      <c r="F33" s="79"/>
      <c r="G33" s="79"/>
      <c r="H33" s="79"/>
      <c r="I33" s="80"/>
      <c r="J33" s="81"/>
      <c r="K33" s="34" t="e">
        <f t="shared" si="2"/>
        <v>#DIV/0!</v>
      </c>
      <c r="L33" s="36" t="e">
        <f t="shared" si="3"/>
        <v>#DIV/0!</v>
      </c>
      <c r="M33" s="156"/>
      <c r="N33" s="156"/>
      <c r="O33" s="162"/>
    </row>
    <row r="34" spans="1:15">
      <c r="B34" s="27" t="s">
        <v>33</v>
      </c>
      <c r="C34" s="74"/>
      <c r="D34" s="77"/>
      <c r="E34" s="78"/>
      <c r="F34" s="79"/>
      <c r="G34" s="79"/>
      <c r="H34" s="79"/>
      <c r="I34" s="80"/>
      <c r="J34" s="81"/>
      <c r="K34" s="34" t="e">
        <f t="shared" si="2"/>
        <v>#DIV/0!</v>
      </c>
      <c r="L34" s="36" t="e">
        <f t="shared" si="3"/>
        <v>#DIV/0!</v>
      </c>
      <c r="M34" s="156"/>
      <c r="N34" s="156"/>
      <c r="O34" s="162"/>
    </row>
    <row r="35" spans="1:15">
      <c r="B35" s="32" t="s">
        <v>82</v>
      </c>
      <c r="C35" s="76"/>
      <c r="D35" s="77"/>
      <c r="E35" s="78"/>
      <c r="F35" s="79"/>
      <c r="G35" s="79"/>
      <c r="H35" s="79"/>
      <c r="I35" s="80"/>
      <c r="J35" s="81"/>
      <c r="K35" s="34" t="e">
        <f t="shared" si="2"/>
        <v>#DIV/0!</v>
      </c>
      <c r="L35" s="36" t="e">
        <f t="shared" si="3"/>
        <v>#DIV/0!</v>
      </c>
      <c r="M35" s="156"/>
      <c r="N35" s="156"/>
      <c r="O35" s="162"/>
    </row>
    <row r="36" spans="1:15" ht="15.75" thickBot="1">
      <c r="D36" s="82"/>
      <c r="E36" s="83"/>
      <c r="F36" s="84"/>
      <c r="G36" s="84"/>
      <c r="H36" s="84"/>
      <c r="I36" s="85"/>
      <c r="J36" s="86"/>
      <c r="K36" s="46" t="e">
        <f t="shared" si="2"/>
        <v>#DIV/0!</v>
      </c>
      <c r="L36" s="47" t="e">
        <f t="shared" si="3"/>
        <v>#DIV/0!</v>
      </c>
      <c r="M36" s="157"/>
      <c r="N36" s="157"/>
      <c r="O36" s="163"/>
    </row>
    <row r="37" spans="1:15">
      <c r="D37" s="23" t="s">
        <v>49</v>
      </c>
      <c r="E37" s="23">
        <f t="shared" ref="E37:J37" si="4">SUM(E26:E36)</f>
        <v>0</v>
      </c>
      <c r="F37" s="90">
        <f t="shared" si="4"/>
        <v>0</v>
      </c>
      <c r="G37" s="90">
        <f t="shared" si="4"/>
        <v>0</v>
      </c>
      <c r="H37" s="90">
        <f t="shared" si="4"/>
        <v>0</v>
      </c>
      <c r="I37" s="56">
        <f t="shared" si="4"/>
        <v>0</v>
      </c>
      <c r="J37" s="57">
        <f t="shared" si="4"/>
        <v>0</v>
      </c>
    </row>
    <row r="38" spans="1:15" ht="204" customHeight="1"/>
    <row r="39" spans="1:15">
      <c r="A39" s="58" t="s">
        <v>37</v>
      </c>
      <c r="B39" s="58" t="s">
        <v>1</v>
      </c>
      <c r="C39" s="58" t="s">
        <v>56</v>
      </c>
    </row>
    <row r="40" spans="1:15">
      <c r="A40" s="59" t="s">
        <v>38</v>
      </c>
      <c r="B40" s="59" t="s">
        <v>55</v>
      </c>
      <c r="C40" s="59" t="s">
        <v>57</v>
      </c>
    </row>
    <row r="41" spans="1:15">
      <c r="A41" s="58" t="s">
        <v>39</v>
      </c>
      <c r="B41" s="58" t="s">
        <v>51</v>
      </c>
      <c r="C41" s="58" t="s">
        <v>58</v>
      </c>
    </row>
    <row r="42" spans="1:15">
      <c r="A42" s="58" t="s">
        <v>40</v>
      </c>
      <c r="B42" s="58"/>
      <c r="C42" s="58" t="s">
        <v>59</v>
      </c>
    </row>
    <row r="43" spans="1:15">
      <c r="A43" s="58" t="s">
        <v>41</v>
      </c>
      <c r="B43" s="58"/>
      <c r="C43" s="58"/>
    </row>
    <row r="44" spans="1:15">
      <c r="A44" s="58" t="s">
        <v>42</v>
      </c>
      <c r="B44" s="58" t="s">
        <v>60</v>
      </c>
      <c r="C44" s="58" t="s">
        <v>8</v>
      </c>
      <c r="D44" s="58" t="s">
        <v>408</v>
      </c>
    </row>
    <row r="45" spans="1:15">
      <c r="A45" s="58" t="s">
        <v>43</v>
      </c>
      <c r="B45" s="59" t="s">
        <v>61</v>
      </c>
      <c r="C45" s="59" t="s">
        <v>52</v>
      </c>
      <c r="D45" s="62" t="s">
        <v>25</v>
      </c>
    </row>
    <row r="46" spans="1:15">
      <c r="A46" s="58" t="s">
        <v>89</v>
      </c>
      <c r="B46" s="58" t="s">
        <v>44</v>
      </c>
      <c r="C46" s="58" t="s">
        <v>68</v>
      </c>
      <c r="D46" s="58" t="s">
        <v>407</v>
      </c>
    </row>
    <row r="47" spans="1:15">
      <c r="A47" s="58" t="s">
        <v>44</v>
      </c>
      <c r="B47" s="58" t="s">
        <v>62</v>
      </c>
      <c r="C47" s="58" t="s">
        <v>69</v>
      </c>
      <c r="D47" s="58" t="s">
        <v>409</v>
      </c>
    </row>
    <row r="48" spans="1:15">
      <c r="A48" s="58" t="s">
        <v>495</v>
      </c>
      <c r="B48" s="58" t="s">
        <v>63</v>
      </c>
      <c r="C48" s="58" t="s">
        <v>53</v>
      </c>
      <c r="D48" s="58" t="s">
        <v>410</v>
      </c>
    </row>
    <row r="49" spans="1:69">
      <c r="A49" s="58" t="s">
        <v>45</v>
      </c>
      <c r="B49" s="58" t="s">
        <v>64</v>
      </c>
      <c r="C49" s="58" t="s">
        <v>70</v>
      </c>
    </row>
    <row r="50" spans="1:69">
      <c r="A50" s="58" t="s">
        <v>91</v>
      </c>
      <c r="B50" s="58" t="s">
        <v>65</v>
      </c>
      <c r="C50" s="58" t="s">
        <v>71</v>
      </c>
    </row>
    <row r="51" spans="1:69">
      <c r="A51" s="58" t="s">
        <v>413</v>
      </c>
      <c r="B51" s="58"/>
      <c r="C51" s="58" t="s">
        <v>72</v>
      </c>
    </row>
    <row r="52" spans="1:69">
      <c r="A52" s="58" t="s">
        <v>93</v>
      </c>
      <c r="B52" s="58"/>
      <c r="C52" s="58" t="s">
        <v>73</v>
      </c>
    </row>
    <row r="53" spans="1:69">
      <c r="A53" s="58" t="s">
        <v>46</v>
      </c>
      <c r="B53" s="58"/>
      <c r="C53" s="58" t="s">
        <v>21</v>
      </c>
    </row>
    <row r="54" spans="1:69">
      <c r="A54" s="58" t="s">
        <v>47</v>
      </c>
      <c r="B54" s="58"/>
      <c r="C54" s="58"/>
    </row>
    <row r="55" spans="1:69">
      <c r="A55" s="58" t="s">
        <v>48</v>
      </c>
      <c r="B55" s="58"/>
      <c r="C55" s="58"/>
    </row>
    <row r="57" spans="1:69">
      <c r="A57" s="58" t="s">
        <v>38</v>
      </c>
      <c r="B57" s="58" t="s">
        <v>39</v>
      </c>
      <c r="C57" s="58" t="s">
        <v>40</v>
      </c>
      <c r="D57" s="58" t="s">
        <v>41</v>
      </c>
      <c r="E57" s="58" t="s">
        <v>42</v>
      </c>
      <c r="F57" s="58" t="s">
        <v>43</v>
      </c>
      <c r="G57" s="58" t="s">
        <v>89</v>
      </c>
      <c r="H57" s="58" t="s">
        <v>44</v>
      </c>
      <c r="I57" s="58" t="s">
        <v>495</v>
      </c>
      <c r="J57" s="58" t="s">
        <v>45</v>
      </c>
      <c r="K57" s="58" t="s">
        <v>91</v>
      </c>
      <c r="L57" s="58" t="s">
        <v>413</v>
      </c>
      <c r="M57" s="58" t="s">
        <v>93</v>
      </c>
      <c r="N57" s="58" t="s">
        <v>46</v>
      </c>
      <c r="O57" s="58" t="s">
        <v>47</v>
      </c>
      <c r="P57" s="58" t="s">
        <v>48</v>
      </c>
    </row>
    <row r="58" spans="1:69">
      <c r="A58" s="18" t="str">
        <f>'1st Innings'!A58</f>
        <v>Aman Singh</v>
      </c>
      <c r="B58" s="18" t="str">
        <f>'1st Innings'!B58</f>
        <v>Ajantha Thenuwara</v>
      </c>
      <c r="C58" s="18" t="str">
        <f>'1st Innings'!C58</f>
        <v>Anjaneyulu Katta</v>
      </c>
      <c r="D58" s="18" t="str">
        <f>'1st Innings'!D58</f>
        <v>Andrew Barnes</v>
      </c>
      <c r="E58" s="18" t="str">
        <f>'1st Innings'!E58</f>
        <v>Abhishek Sinha</v>
      </c>
      <c r="F58" s="18" t="str">
        <f>'1st Innings'!F58</f>
        <v>Amit Bhat</v>
      </c>
      <c r="G58" s="18" t="str">
        <f>'1st Innings'!G58</f>
        <v>Ajay K</v>
      </c>
      <c r="H58" s="18" t="str">
        <f>'1st Innings'!H58</f>
        <v>Ajay Sharma</v>
      </c>
      <c r="I58" s="18" t="str">
        <f>'1st Innings'!I58</f>
        <v>Ahmad Ramdhoni</v>
      </c>
      <c r="J58" s="18" t="str">
        <f>'1st Innings'!J58</f>
        <v>Adithyan Asokan</v>
      </c>
      <c r="K58" s="18" t="str">
        <f>'1st Innings'!K58</f>
        <v>Stephen Barber</v>
      </c>
      <c r="L58" s="18" t="str">
        <f>'1st Innings'!L58</f>
        <v>Aditya Gustama</v>
      </c>
      <c r="M58" s="18" t="str">
        <f>'1st Innings'!M58</f>
        <v>Anandalwar Santhanam</v>
      </c>
      <c r="N58" s="18" t="str">
        <f>'1st Innings'!N58</f>
        <v>Ajay Jawal</v>
      </c>
      <c r="O58" s="18" t="str">
        <f>'1st Innings'!O58</f>
        <v xml:space="preserve">Anil  Gawda </v>
      </c>
      <c r="P58" s="18" t="str">
        <f>'1st Innings'!P58</f>
        <v>Abhay Bhalerao</v>
      </c>
      <c r="Q58" s="58"/>
      <c r="S58" s="3"/>
      <c r="T58" s="3"/>
      <c r="U58" s="60"/>
      <c r="V58" s="60"/>
      <c r="W58" s="60"/>
      <c r="X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</row>
    <row r="59" spans="1:69">
      <c r="A59" s="18" t="str">
        <f>'1st Innings'!A59</f>
        <v>Ambuj Dubey</v>
      </c>
      <c r="B59" s="18" t="str">
        <f>'1st Innings'!B59</f>
        <v>Amila</v>
      </c>
      <c r="C59" s="18" t="str">
        <f>'1st Innings'!C59</f>
        <v>Avinash Pal</v>
      </c>
      <c r="D59" s="18" t="str">
        <f>'1st Innings'!D59</f>
        <v>Andy Murry</v>
      </c>
      <c r="E59" s="18" t="str">
        <f>'1st Innings'!E59</f>
        <v>Adarsh Srikkanth</v>
      </c>
      <c r="F59" s="18" t="str">
        <f>'1st Innings'!F59</f>
        <v>Aqsam Omar</v>
      </c>
      <c r="G59" s="18" t="str">
        <f>'1st Innings'!G59</f>
        <v>Bhuvan Manjunathan</v>
      </c>
      <c r="H59" s="18" t="str">
        <f>'1st Innings'!H59</f>
        <v>Ajeet Bhatt</v>
      </c>
      <c r="I59" s="18" t="str">
        <f>'1st Innings'!I59</f>
        <v xml:space="preserve">Aijaz Matoo </v>
      </c>
      <c r="J59" s="18" t="str">
        <f>'1st Innings'!J59</f>
        <v>Chacko Smejo</v>
      </c>
      <c r="K59" s="18" t="str">
        <f>'1st Innings'!K59</f>
        <v>Marten Eddy</v>
      </c>
      <c r="L59" s="18" t="str">
        <f>'1st Innings'!L59</f>
        <v>Agi Septyasa</v>
      </c>
      <c r="M59" s="18" t="str">
        <f>'1st Innings'!M59</f>
        <v>Arun Swve</v>
      </c>
      <c r="N59" s="18" t="str">
        <f>'1st Innings'!N59</f>
        <v>Ajit Prabhu</v>
      </c>
      <c r="O59" s="18" t="str">
        <f>'1st Innings'!O59</f>
        <v xml:space="preserve">Dipak  Grover </v>
      </c>
      <c r="P59" s="18" t="str">
        <f>'1st Innings'!P59</f>
        <v>Amit Lalaji</v>
      </c>
      <c r="Q59" s="58"/>
      <c r="S59" s="3"/>
      <c r="T59" s="3"/>
      <c r="U59" s="60"/>
      <c r="V59" s="3"/>
      <c r="W59" s="60"/>
      <c r="X59" s="60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69">
      <c r="A60" s="18" t="str">
        <f>'1st Innings'!A60</f>
        <v>Ambuj Singh</v>
      </c>
      <c r="B60" s="18" t="str">
        <f>'1st Innings'!B60</f>
        <v>Anil Kaul</v>
      </c>
      <c r="C60" s="18" t="str">
        <f>'1st Innings'!C60</f>
        <v>Bharath Paramasivam</v>
      </c>
      <c r="D60" s="18" t="str">
        <f>'1st Innings'!D60</f>
        <v>Ben Burgess</v>
      </c>
      <c r="E60" s="18" t="str">
        <f>'1st Innings'!E60</f>
        <v>Arjun Chauhan</v>
      </c>
      <c r="F60" s="18" t="str">
        <f>'1st Innings'!F60</f>
        <v>Atul Kakkar</v>
      </c>
      <c r="G60" s="18" t="str">
        <f>'1st Innings'!G60</f>
        <v>Bunty Nagpal</v>
      </c>
      <c r="H60" s="18" t="str">
        <f>'1st Innings'!H60</f>
        <v>Ashutosh Mishra</v>
      </c>
      <c r="I60" s="18" t="str">
        <f>'1st Innings'!I60</f>
        <v xml:space="preserve">Amar Kapadia </v>
      </c>
      <c r="J60" s="18" t="str">
        <f>'1st Innings'!J60</f>
        <v>Chandroo R Rajalingam</v>
      </c>
      <c r="K60" s="18" t="str">
        <f>'1st Innings'!K60</f>
        <v>Warwick Peters</v>
      </c>
      <c r="L60" s="18" t="str">
        <f>'1st Innings'!L60</f>
        <v>Alfaris</v>
      </c>
      <c r="M60" s="18" t="str">
        <f>'1st Innings'!M60</f>
        <v>Ashwin Shetty</v>
      </c>
      <c r="N60" s="18" t="str">
        <f>'1st Innings'!N60</f>
        <v>Aman Singh</v>
      </c>
      <c r="O60" s="18" t="str">
        <f>'1st Innings'!O60</f>
        <v>Harrshal Sunil  Rane</v>
      </c>
      <c r="P60" s="18" t="str">
        <f>'1st Innings'!P60</f>
        <v>Ansar Subramanian Mohammed Hameed</v>
      </c>
      <c r="Q60" s="58"/>
      <c r="S60" s="3"/>
      <c r="T60" s="3"/>
      <c r="U60" s="60"/>
      <c r="V60" s="60"/>
      <c r="W60" s="60"/>
      <c r="X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69">
      <c r="A61" s="18" t="str">
        <f>'1st Innings'!A61</f>
        <v>Anant Bhake</v>
      </c>
      <c r="B61" s="18" t="str">
        <f>'1st Innings'!B61</f>
        <v>Anil Kumar Verma</v>
      </c>
      <c r="C61" s="18" t="str">
        <f>'1st Innings'!C61</f>
        <v>David Surjit</v>
      </c>
      <c r="D61" s="18" t="str">
        <f>'1st Innings'!D61</f>
        <v>Ben CORBETT</v>
      </c>
      <c r="E61" s="18" t="str">
        <f>'1st Innings'!E61</f>
        <v>Ashish Khaitan</v>
      </c>
      <c r="F61" s="18" t="str">
        <f>'1st Innings'!F61</f>
        <v>Deepak Khullar</v>
      </c>
      <c r="G61" s="18" t="str">
        <f>'1st Innings'!G61</f>
        <v>Dhiraj Nagpal</v>
      </c>
      <c r="H61" s="18" t="str">
        <f>'1st Innings'!H61</f>
        <v>Ayushman Saboo</v>
      </c>
      <c r="I61" s="18" t="str">
        <f>'1st Innings'!I61</f>
        <v xml:space="preserve">Amir Mohammad </v>
      </c>
      <c r="J61" s="18" t="str">
        <f>'1st Innings'!J61</f>
        <v>Dennis Susairaj. J</v>
      </c>
      <c r="K61" s="18" t="str">
        <f>'1st Innings'!K61</f>
        <v>Corbon Loughnan</v>
      </c>
      <c r="L61" s="18" t="str">
        <f>'1st Innings'!L61</f>
        <v>Angga Lucky</v>
      </c>
      <c r="M61" s="18" t="str">
        <f>'1st Innings'!M61</f>
        <v>John Anthony</v>
      </c>
      <c r="N61" s="18" t="str">
        <f>'1st Innings'!N61</f>
        <v>Anuj Banerjee</v>
      </c>
      <c r="O61" s="18" t="str">
        <f>'1st Innings'!O61</f>
        <v>Hitesh Malhotra</v>
      </c>
      <c r="P61" s="18" t="str">
        <f>'1st Innings'!P61</f>
        <v>Anwar Pasha</v>
      </c>
      <c r="Q61" s="58"/>
      <c r="S61" s="3"/>
      <c r="T61" s="3"/>
      <c r="U61" s="60"/>
      <c r="V61" s="60"/>
      <c r="W61" s="60"/>
      <c r="X61" s="60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69">
      <c r="A62" s="18" t="str">
        <f>'1st Innings'!A62</f>
        <v>Avinash Pareek</v>
      </c>
      <c r="B62" s="18" t="str">
        <f>'1st Innings'!B62</f>
        <v>Asanka De Saram</v>
      </c>
      <c r="C62" s="18" t="str">
        <f>'1st Innings'!C62</f>
        <v>Harish Vaidyanathan</v>
      </c>
      <c r="D62" s="18" t="str">
        <f>'1st Innings'!D62</f>
        <v>BIS BIS</v>
      </c>
      <c r="E62" s="18" t="str">
        <f>'1st Innings'!E62</f>
        <v>Bubun Bubun</v>
      </c>
      <c r="F62" s="18" t="str">
        <f>'1st Innings'!F62</f>
        <v>Gajendra Asaliya</v>
      </c>
      <c r="G62" s="18" t="str">
        <f>'1st Innings'!G62</f>
        <v>Dwaraknath Naidu</v>
      </c>
      <c r="H62" s="18" t="str">
        <f>'1st Innings'!H62</f>
        <v>Bharat Dholakhandi</v>
      </c>
      <c r="I62" s="18" t="str">
        <f>'1st Innings'!I62</f>
        <v xml:space="preserve">Amit Ambre </v>
      </c>
      <c r="J62" s="18" t="str">
        <f>'1st Innings'!J62</f>
        <v>Dhanashekaran (sekar ) Ramalingam</v>
      </c>
      <c r="K62" s="18" t="str">
        <f>'1st Innings'!K62</f>
        <v>OP Rajesh</v>
      </c>
      <c r="L62" s="18" t="str">
        <f>'1st Innings'!L62</f>
        <v>Arkha Tri Maryanto</v>
      </c>
      <c r="M62" s="18" t="str">
        <f>'1st Innings'!M62</f>
        <v>Karthikeyan Sakthivel</v>
      </c>
      <c r="N62" s="18" t="str">
        <f>'1st Innings'!N62</f>
        <v>Chetan Porwal</v>
      </c>
      <c r="O62" s="18" t="str">
        <f>'1st Innings'!O62</f>
        <v xml:space="preserve">Kapil  </v>
      </c>
      <c r="P62" s="18" t="str">
        <f>'1st Innings'!P62</f>
        <v>Ashfaq Hussain</v>
      </c>
      <c r="Q62" s="58"/>
      <c r="S62" s="3"/>
      <c r="T62" s="3"/>
      <c r="U62" s="60"/>
      <c r="V62" s="3"/>
      <c r="W62" s="60"/>
      <c r="X62" s="60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69">
      <c r="A63" s="18" t="str">
        <f>'1st Innings'!A63</f>
        <v>Bob Plath</v>
      </c>
      <c r="B63" s="18" t="str">
        <f>'1st Innings'!B63</f>
        <v>Asif</v>
      </c>
      <c r="C63" s="18" t="str">
        <f>'1st Innings'!C63</f>
        <v>Joel Roy</v>
      </c>
      <c r="D63" s="18" t="str">
        <f>'1st Innings'!D63</f>
        <v>Damian Ross</v>
      </c>
      <c r="E63" s="18" t="str">
        <f>'1st Innings'!E63</f>
        <v>Deepak Kedia</v>
      </c>
      <c r="F63" s="18" t="str">
        <f>'1st Innings'!F63</f>
        <v>Hanan Khalid</v>
      </c>
      <c r="G63" s="18" t="str">
        <f>'1st Innings'!G63</f>
        <v>Gaurang Kapadia</v>
      </c>
      <c r="H63" s="18" t="str">
        <f>'1st Innings'!H63</f>
        <v>Deepak Sarna</v>
      </c>
      <c r="I63" s="18" t="str">
        <f>'1st Innings'!I63</f>
        <v xml:space="preserve">Amrithanand Mandook </v>
      </c>
      <c r="J63" s="18" t="str">
        <f>'1st Innings'!J63</f>
        <v>Jaganathan (Jagan ) Krishnan</v>
      </c>
      <c r="K63" s="18" t="str">
        <f>'1st Innings'!K63</f>
        <v>Suresh Subramanian</v>
      </c>
      <c r="L63" s="18" t="str">
        <f>'1st Innings'!L63</f>
        <v>Fachri Nurhadi</v>
      </c>
      <c r="M63" s="18" t="str">
        <f>'1st Innings'!M63</f>
        <v>Kiruba Sankar</v>
      </c>
      <c r="N63" s="18" t="str">
        <f>'1st Innings'!N63</f>
        <v>Gaurav Tiwari</v>
      </c>
      <c r="O63" s="18" t="str">
        <f>'1st Innings'!O63</f>
        <v>Malik Thariani</v>
      </c>
      <c r="P63" s="18" t="str">
        <f>'1st Innings'!P63</f>
        <v>Dhimanshu Raghuwanshi</v>
      </c>
      <c r="Q63" s="58"/>
      <c r="S63" s="3"/>
      <c r="T63" s="3"/>
      <c r="U63" s="60"/>
      <c r="V63" s="3"/>
      <c r="W63" s="60"/>
      <c r="X63" s="60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69">
      <c r="A64" s="18" t="str">
        <f>'1st Innings'!A64</f>
        <v>Bradley Dam</v>
      </c>
      <c r="B64" s="18" t="str">
        <f>'1st Innings'!B64</f>
        <v>Avakash Lohia</v>
      </c>
      <c r="C64" s="18" t="str">
        <f>'1st Innings'!C64</f>
        <v>Kapil Goel</v>
      </c>
      <c r="D64" s="18" t="str">
        <f>'1st Innings'!D64</f>
        <v>Desandri</v>
      </c>
      <c r="E64" s="18" t="str">
        <f>'1st Innings'!E64</f>
        <v>Govind Sodani</v>
      </c>
      <c r="F64" s="18" t="str">
        <f>'1st Innings'!F64</f>
        <v>Hari Krishnan</v>
      </c>
      <c r="G64" s="18" t="str">
        <f>'1st Innings'!G64</f>
        <v>Gaurav Pathak</v>
      </c>
      <c r="H64" s="18" t="str">
        <f>'1st Innings'!H64</f>
        <v>Diwakar Mohan</v>
      </c>
      <c r="I64" s="18" t="str">
        <f>'1st Innings'!I64</f>
        <v xml:space="preserve">Anjar Tadarus </v>
      </c>
      <c r="J64" s="18" t="str">
        <f>'1st Innings'!J64</f>
        <v>Jeganathan S</v>
      </c>
      <c r="K64" s="18" t="str">
        <f>'1st Innings'!K64</f>
        <v>Jon Burrough</v>
      </c>
      <c r="L64" s="18" t="str">
        <f>'1st Innings'!L64</f>
        <v>Febrian Dana Wiyoko</v>
      </c>
      <c r="M64" s="18" t="str">
        <f>'1st Innings'!M64</f>
        <v>Narasimha Lakshmi Gowda</v>
      </c>
      <c r="N64" s="18" t="str">
        <f>'1st Innings'!N64</f>
        <v>Gaurav Jha</v>
      </c>
      <c r="O64" s="18" t="str">
        <f>'1st Innings'!O64</f>
        <v>Mukesh Kehetan</v>
      </c>
      <c r="P64" s="18" t="str">
        <f>'1st Innings'!P64</f>
        <v>Feroz Saeed Dalwai</v>
      </c>
      <c r="Q64" s="58"/>
      <c r="S64" s="3"/>
      <c r="T64" s="3"/>
      <c r="U64" s="60"/>
      <c r="V64" s="3"/>
      <c r="W64" s="60"/>
      <c r="X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62">
      <c r="A65" s="18" t="str">
        <f>'1st Innings'!A65</f>
        <v>David Holme</v>
      </c>
      <c r="B65" s="18" t="str">
        <f>'1st Innings'!B65</f>
        <v>Chinthaka Walahapitiya</v>
      </c>
      <c r="C65" s="18" t="str">
        <f>'1st Innings'!C65</f>
        <v>Maneesh Dubey</v>
      </c>
      <c r="D65" s="18" t="str">
        <f>'1st Innings'!D65</f>
        <v>Eki Antaria</v>
      </c>
      <c r="E65" s="18" t="str">
        <f>'1st Innings'!E65</f>
        <v>Karyadi Karyadi</v>
      </c>
      <c r="F65" s="18" t="str">
        <f>'1st Innings'!F65</f>
        <v>Harish Tiwari</v>
      </c>
      <c r="G65" s="18" t="str">
        <f>'1st Innings'!G65</f>
        <v>George Maghnani</v>
      </c>
      <c r="H65" s="18" t="str">
        <f>'1st Innings'!H65</f>
        <v>Giri Vijay</v>
      </c>
      <c r="I65" s="18" t="str">
        <f>'1st Innings'!I65</f>
        <v xml:space="preserve">Ashit Mehta </v>
      </c>
      <c r="J65" s="18" t="str">
        <f>'1st Innings'!J65</f>
        <v>Manicka vasagan (Manic) G</v>
      </c>
      <c r="K65" s="18" t="str">
        <f>'1st Innings'!K65</f>
        <v>Mick Dumenil</v>
      </c>
      <c r="L65" s="18" t="str">
        <f>'1st Innings'!L65</f>
        <v>Fernandes Nato Wellarana</v>
      </c>
      <c r="M65" s="18" t="str">
        <f>'1st Innings'!M65</f>
        <v>Prabhukaliraj Kanagarajan</v>
      </c>
      <c r="N65" s="18" t="str">
        <f>'1st Innings'!N65</f>
        <v>Hetal Patel</v>
      </c>
      <c r="O65" s="18" t="str">
        <f>'1st Innings'!O65</f>
        <v xml:space="preserve">Nagesh Lashim  Gawda </v>
      </c>
      <c r="P65" s="18" t="str">
        <f>'1st Innings'!P65</f>
        <v>Jagdeep Singh</v>
      </c>
      <c r="Q65" s="58"/>
      <c r="S65" s="3"/>
      <c r="T65" s="3"/>
      <c r="U65" s="60"/>
      <c r="V65" s="3"/>
      <c r="W65" s="60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62">
      <c r="A66" s="18" t="str">
        <f>'1st Innings'!A66</f>
        <v>Deepak Singh</v>
      </c>
      <c r="B66" s="18" t="str">
        <f>'1st Innings'!B66</f>
        <v>Dhammika Bandara</v>
      </c>
      <c r="C66" s="18" t="str">
        <f>'1st Innings'!C66</f>
        <v>Manikandan Chandrashekar</v>
      </c>
      <c r="D66" s="18" t="str">
        <f>'1st Innings'!D66</f>
        <v>Enzo Dimenna</v>
      </c>
      <c r="E66" s="18" t="str">
        <f>'1st Innings'!E66</f>
        <v>Kaushik Vishvanath</v>
      </c>
      <c r="F66" s="18" t="str">
        <f>'1st Innings'!F66</f>
        <v>Harshad Bhat</v>
      </c>
      <c r="G66" s="18" t="str">
        <f>'1st Innings'!G66</f>
        <v>Kishor Gunwani</v>
      </c>
      <c r="H66" s="18" t="str">
        <f>'1st Innings'!H66</f>
        <v>Ishan Daniel</v>
      </c>
      <c r="I66" s="18" t="str">
        <f>'1st Innings'!I66</f>
        <v>Ashwin Sunder</v>
      </c>
      <c r="J66" s="18" t="str">
        <f>'1st Innings'!J66</f>
        <v>Rajeev Gandhi</v>
      </c>
      <c r="K66" s="18" t="str">
        <f>'1st Innings'!K66</f>
        <v>Cameron Knox</v>
      </c>
      <c r="L66" s="18" t="str">
        <f>'1st Innings'!L66</f>
        <v>Fiskal Tirta Yoga Sabara</v>
      </c>
      <c r="M66" s="18" t="str">
        <f>'1st Innings'!M66</f>
        <v>Prem Kumar Subbaiah</v>
      </c>
      <c r="N66" s="18" t="str">
        <f>'1st Innings'!N66</f>
        <v>Ishwar Thakkar</v>
      </c>
      <c r="O66" s="18" t="str">
        <f>'1st Innings'!O66</f>
        <v>Neeraj  Chaddha</v>
      </c>
      <c r="P66" s="18" t="str">
        <f>'1st Innings'!P66</f>
        <v>Mohammad Mubeen</v>
      </c>
      <c r="Q66" s="58"/>
      <c r="S66" s="3"/>
      <c r="T66" s="3"/>
      <c r="U66" s="60"/>
      <c r="V66" s="3"/>
      <c r="W66" s="60"/>
      <c r="X66" s="60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62">
      <c r="A67" s="18" t="str">
        <f>'1st Innings'!A67</f>
        <v>Gamantika</v>
      </c>
      <c r="B67" s="18" t="str">
        <f>'1st Innings'!B67</f>
        <v>Dihan Silva</v>
      </c>
      <c r="C67" s="18" t="str">
        <f>'1st Innings'!C67</f>
        <v>Manoj Tanpure</v>
      </c>
      <c r="D67" s="18" t="str">
        <f>'1st Innings'!D67</f>
        <v>Jeremy Roland</v>
      </c>
      <c r="E67" s="18" t="str">
        <f>'1st Innings'!E67</f>
        <v>Nakul Boora</v>
      </c>
      <c r="F67" s="18" t="str">
        <f>'1st Innings'!F67</f>
        <v>John Dulip Kumar</v>
      </c>
      <c r="G67" s="18" t="str">
        <f>'1st Innings'!G67</f>
        <v>Mahesh Amarnani</v>
      </c>
      <c r="H67" s="18" t="str">
        <f>'1st Innings'!H67</f>
        <v>Jalaj Chaturvedi</v>
      </c>
      <c r="I67" s="18" t="str">
        <f>'1st Innings'!I67</f>
        <v xml:space="preserve">Cecil Jacob </v>
      </c>
      <c r="J67" s="18" t="str">
        <f>'1st Innings'!J67</f>
        <v>Ranjan Shankar</v>
      </c>
      <c r="K67" s="18" t="str">
        <f>'1st Innings'!K67</f>
        <v xml:space="preserve">Brock Fisher </v>
      </c>
      <c r="L67" s="18" t="str">
        <f>'1st Innings'!L67</f>
        <v>Gema Fajar</v>
      </c>
      <c r="M67" s="18" t="str">
        <f>'1st Innings'!M67</f>
        <v>Ramachandran parthasarathy</v>
      </c>
      <c r="N67" s="18" t="str">
        <f>'1st Innings'!N67</f>
        <v>Jatinder Sandhu</v>
      </c>
      <c r="O67" s="18" t="str">
        <f>'1st Innings'!O67</f>
        <v>Poonam ( Jimmy )  Bumb</v>
      </c>
      <c r="P67" s="18" t="str">
        <f>'1st Innings'!P67</f>
        <v>Mohideen Nanapallai</v>
      </c>
      <c r="Q67" s="58"/>
      <c r="S67" s="3"/>
      <c r="T67" s="3"/>
      <c r="U67" s="60"/>
      <c r="V67" s="3"/>
      <c r="W67" s="60"/>
      <c r="X67" s="60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62">
      <c r="A68" s="18" t="str">
        <f>'1st Innings'!A68</f>
        <v>Gaurav Tiwari</v>
      </c>
      <c r="B68" s="18" t="str">
        <f>'1st Innings'!B68</f>
        <v>Gaurav Kapoor</v>
      </c>
      <c r="C68" s="18" t="str">
        <f>'1st Innings'!C68</f>
        <v>Nagraj Bitla</v>
      </c>
      <c r="D68" s="18" t="str">
        <f>'1st Innings'!D68</f>
        <v>Jon Baker</v>
      </c>
      <c r="E68" s="18" t="str">
        <f>'1st Innings'!E68</f>
        <v>Nitin Joshi</v>
      </c>
      <c r="F68" s="18" t="str">
        <f>'1st Innings'!F68</f>
        <v>Kapil Bhutra</v>
      </c>
      <c r="G68" s="18" t="str">
        <f>'1st Innings'!G68</f>
        <v>Manoj Arora</v>
      </c>
      <c r="H68" s="18" t="str">
        <f>'1st Innings'!H68</f>
        <v>Manish Semwal</v>
      </c>
      <c r="I68" s="18" t="str">
        <f>'1st Innings'!I68</f>
        <v xml:space="preserve">Faisal Hashmi </v>
      </c>
      <c r="J68" s="18" t="str">
        <f>'1st Innings'!J68</f>
        <v>Santhosh Kumar</v>
      </c>
      <c r="K68" s="18" t="str">
        <f>'1st Innings'!K68</f>
        <v>Charles Thursby-Pelham</v>
      </c>
      <c r="L68" s="18" t="str">
        <f>'1st Innings'!L68</f>
        <v>Irwan Siregar</v>
      </c>
      <c r="M68" s="18" t="str">
        <f>'1st Innings'!M68</f>
        <v>Reddy A.V</v>
      </c>
      <c r="N68" s="18" t="str">
        <f>'1st Innings'!N68</f>
        <v>Karan Tiwary</v>
      </c>
      <c r="O68" s="18" t="str">
        <f>'1st Innings'!O68</f>
        <v>Rakesh AS</v>
      </c>
      <c r="P68" s="18" t="str">
        <f>'1st Innings'!P68</f>
        <v>Muhammad Ridho</v>
      </c>
      <c r="Q68" s="58"/>
      <c r="S68" s="3"/>
      <c r="T68" s="3"/>
      <c r="U68" s="60"/>
      <c r="V68" s="3"/>
      <c r="W68" s="60"/>
      <c r="X68" s="60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62">
      <c r="A69" s="18" t="str">
        <f>'1st Innings'!A69</f>
        <v>Greg Haine</v>
      </c>
      <c r="B69" s="18" t="str">
        <f>'1st Innings'!B69</f>
        <v>Kanha Kanha</v>
      </c>
      <c r="C69" s="18" t="str">
        <f>'1st Innings'!C69</f>
        <v>Palwinder Singh</v>
      </c>
      <c r="D69" s="18" t="str">
        <f>'1st Innings'!D69</f>
        <v>Josh Van Vianen</v>
      </c>
      <c r="E69" s="18" t="str">
        <f>'1st Innings'!E69</f>
        <v>PC Sethi</v>
      </c>
      <c r="F69" s="18" t="str">
        <f>'1st Innings'!F69</f>
        <v>Mahesh Thadani</v>
      </c>
      <c r="G69" s="18" t="str">
        <f>'1st Innings'!G69</f>
        <v>Pallav Malhotra</v>
      </c>
      <c r="H69" s="18" t="str">
        <f>'1st Innings'!H69</f>
        <v>Maulik Umesh Trivedi</v>
      </c>
      <c r="I69" s="18" t="str">
        <f>'1st Innings'!I69</f>
        <v xml:space="preserve">Haider Ali </v>
      </c>
      <c r="J69" s="18" t="str">
        <f>'1st Innings'!J69</f>
        <v>Satheesh  Kumar Subramanium</v>
      </c>
      <c r="K69" s="18" t="str">
        <f>'1st Innings'!K69</f>
        <v xml:space="preserve">Justin Lee </v>
      </c>
      <c r="L69" s="18" t="str">
        <f>'1st Innings'!L69</f>
        <v>Juni Aryadi</v>
      </c>
      <c r="M69" s="18" t="str">
        <f>'1st Innings'!M69</f>
        <v>Sabu Joy</v>
      </c>
      <c r="N69" s="18" t="str">
        <f>'1st Innings'!N69</f>
        <v>Keyur Moradia</v>
      </c>
      <c r="O69" s="18" t="str">
        <f>'1st Innings'!O69</f>
        <v>Ravinder Negi</v>
      </c>
      <c r="P69" s="18" t="str">
        <f>'1st Innings'!P69</f>
        <v>Nasir Mehdi</v>
      </c>
      <c r="Q69" s="58"/>
      <c r="S69" s="3"/>
      <c r="T69" s="3"/>
      <c r="U69" s="60"/>
      <c r="V69" s="3"/>
      <c r="W69" s="60"/>
      <c r="X69" s="60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62">
      <c r="A70" s="18" t="str">
        <f>'1st Innings'!A70</f>
        <v>HImanshu Shekhar</v>
      </c>
      <c r="B70" s="18" t="str">
        <f>'1st Innings'!B70</f>
        <v>Kesavadas Ravindran</v>
      </c>
      <c r="C70" s="18" t="str">
        <f>'1st Innings'!C70</f>
        <v>Pavan Kumar Garimella</v>
      </c>
      <c r="D70" s="18" t="str">
        <f>'1st Innings'!D70</f>
        <v>Justin Horan</v>
      </c>
      <c r="E70" s="18" t="str">
        <f>'1st Innings'!E70</f>
        <v>R Srikkanth</v>
      </c>
      <c r="F70" s="18" t="str">
        <f>'1st Innings'!F70</f>
        <v>Mohit Keshwani</v>
      </c>
      <c r="G70" s="18" t="str">
        <f>'1st Innings'!G70</f>
        <v>Pankaj Jain</v>
      </c>
      <c r="H70" s="18" t="str">
        <f>'1st Innings'!H70</f>
        <v>Mohammad Imran</v>
      </c>
      <c r="I70" s="18" t="str">
        <f>'1st Innings'!I70</f>
        <v xml:space="preserve">Irfan Raza </v>
      </c>
      <c r="J70" s="18" t="str">
        <f>'1st Innings'!J70</f>
        <v>Satinder Minhas</v>
      </c>
      <c r="K70" s="18" t="str">
        <f>'1st Innings'!K70</f>
        <v>Steven Nealon</v>
      </c>
      <c r="L70" s="18" t="str">
        <f>'1st Innings'!L70</f>
        <v>Melvin Ndoen</v>
      </c>
      <c r="M70" s="18" t="str">
        <f>'1st Innings'!M70</f>
        <v>Sakthi Narayanan</v>
      </c>
      <c r="N70" s="18" t="str">
        <f>'1st Innings'!N70</f>
        <v>Kunal Malhotra</v>
      </c>
      <c r="O70" s="18" t="str">
        <f>'1st Innings'!O70</f>
        <v>Sanwar  Agrawal</v>
      </c>
      <c r="P70" s="18" t="str">
        <f>'1st Innings'!P70</f>
        <v>Parshotam Lal</v>
      </c>
      <c r="Q70" s="58"/>
      <c r="S70" s="3"/>
      <c r="T70" s="3"/>
      <c r="U70" s="60"/>
      <c r="V70" s="3"/>
      <c r="W70" s="60"/>
      <c r="X70" s="60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62">
      <c r="A71" s="18" t="str">
        <f>'1st Innings'!A71</f>
        <v>Jim Howlett</v>
      </c>
      <c r="B71" s="18" t="str">
        <f>'1st Innings'!B71</f>
        <v>Madhav Madhav</v>
      </c>
      <c r="C71" s="18" t="str">
        <f>'1st Innings'!C71</f>
        <v>Preetinder Singh</v>
      </c>
      <c r="D71" s="18" t="str">
        <f>'1st Innings'!D71</f>
        <v>Kookie Jambunathan</v>
      </c>
      <c r="E71" s="18" t="str">
        <f>'1st Innings'!E71</f>
        <v>Sandeep Bhandarwar</v>
      </c>
      <c r="F71" s="18" t="str">
        <f>'1st Innings'!F71</f>
        <v>Muhammad Ishaq Khan</v>
      </c>
      <c r="G71" s="18" t="str">
        <f>'1st Innings'!G71</f>
        <v>Partha Kabi</v>
      </c>
      <c r="H71" s="18" t="str">
        <f>'1st Innings'!H71</f>
        <v>Mohit Dilawar Singh</v>
      </c>
      <c r="I71" s="18" t="str">
        <f>'1st Innings'!I71</f>
        <v xml:space="preserve">Javed Hayat </v>
      </c>
      <c r="J71" s="18" t="str">
        <f>'1st Innings'!J71</f>
        <v>Srini KG srinivas</v>
      </c>
      <c r="K71" s="18" t="str">
        <f>'1st Innings'!K71</f>
        <v xml:space="preserve">Zacariah Cutliffe </v>
      </c>
      <c r="L71" s="18" t="str">
        <f>'1st Innings'!L71</f>
        <v>Muhammad Ari Cahyo Nugroho</v>
      </c>
      <c r="M71" s="18" t="str">
        <f>'1st Innings'!M71</f>
        <v>Salahudeen Hameed Mohamed</v>
      </c>
      <c r="N71" s="18" t="str">
        <f>'1st Innings'!N71</f>
        <v>Mayank Mayank</v>
      </c>
      <c r="O71" s="18" t="str">
        <f>'1st Innings'!O71</f>
        <v>Sravan Kumar</v>
      </c>
      <c r="P71" s="18" t="str">
        <f>'1st Innings'!P71</f>
        <v>Raja Kundu</v>
      </c>
      <c r="Q71" s="58"/>
      <c r="S71" s="3"/>
      <c r="T71" s="3"/>
      <c r="U71" s="60"/>
      <c r="V71" s="3"/>
      <c r="W71" s="60"/>
      <c r="X71" s="60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62">
      <c r="A72" s="18" t="str">
        <f>'1st Innings'!A72</f>
        <v>JP Le Riche</v>
      </c>
      <c r="B72" s="18" t="str">
        <f>'1st Innings'!B72</f>
        <v>Muditha Tharanga</v>
      </c>
      <c r="C72" s="18" t="str">
        <f>'1st Innings'!C72</f>
        <v>Rajat Jain</v>
      </c>
      <c r="D72" s="18" t="str">
        <f>'1st Innings'!D72</f>
        <v>Kunal Desai</v>
      </c>
      <c r="E72" s="18" t="str">
        <f>'1st Innings'!E72</f>
        <v>Sandeep Boora</v>
      </c>
      <c r="F72" s="18" t="str">
        <f>'1st Innings'!F72</f>
        <v>Neetesh Pansare</v>
      </c>
      <c r="G72" s="18" t="str">
        <f>'1st Innings'!G72</f>
        <v>Rachin Arora</v>
      </c>
      <c r="H72" s="18" t="str">
        <f>'1st Innings'!H72</f>
        <v>Naresh Gupta</v>
      </c>
      <c r="I72" s="18" t="str">
        <f>'1st Innings'!I72</f>
        <v xml:space="preserve">Jibu Chacko </v>
      </c>
      <c r="J72" s="18" t="str">
        <f>'1st Innings'!J72</f>
        <v>Srinivasan (Cheenu) Venkatachalam</v>
      </c>
      <c r="K72" s="18" t="str">
        <f>'1st Innings'!K72</f>
        <v xml:space="preserve">Cameron McNamara </v>
      </c>
      <c r="L72" s="18" t="str">
        <f>'1st Innings'!L72</f>
        <v>Muhammad Syahrul Rahmadan</v>
      </c>
      <c r="M72" s="18" t="str">
        <f>'1st Innings'!M72</f>
        <v>Sivakumar Thangasamy Suriyamoorthy</v>
      </c>
      <c r="N72" s="18" t="str">
        <f>'1st Innings'!N72</f>
        <v>miraz monga</v>
      </c>
      <c r="O72" s="18" t="str">
        <f>'1st Innings'!O72</f>
        <v>Suren Ketan</v>
      </c>
      <c r="P72" s="18" t="str">
        <f>'1st Innings'!P72</f>
        <v>Ramakrishna Prasad</v>
      </c>
      <c r="Q72" s="58"/>
      <c r="S72" s="3"/>
      <c r="T72" s="3"/>
      <c r="U72" s="60"/>
      <c r="V72" s="3"/>
      <c r="W72" s="60"/>
      <c r="X72" s="60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62">
      <c r="A73" s="18" t="str">
        <f>'1st Innings'!A73</f>
        <v>Michael Hurle</v>
      </c>
      <c r="B73" s="18" t="str">
        <f>'1st Innings'!B73</f>
        <v>Muhriz Muzzamil</v>
      </c>
      <c r="C73" s="18" t="str">
        <f>'1st Innings'!C73</f>
        <v>Ramakrishna Muddam</v>
      </c>
      <c r="D73" s="18" t="str">
        <f>'1st Innings'!D73</f>
        <v>Liam Cass</v>
      </c>
      <c r="E73" s="18" t="str">
        <f>'1st Innings'!E73</f>
        <v>Shailesh Thulaskar</v>
      </c>
      <c r="F73" s="18" t="str">
        <f>'1st Innings'!F73</f>
        <v>Rahul Kukreja</v>
      </c>
      <c r="G73" s="18" t="str">
        <f>'1st Innings'!G73</f>
        <v>Rahul Pagad</v>
      </c>
      <c r="H73" s="18" t="str">
        <f>'1st Innings'!H73</f>
        <v>Nikhil Dsouza</v>
      </c>
      <c r="I73" s="18" t="str">
        <f>'1st Innings'!I73</f>
        <v xml:space="preserve">Jimmy Ahmed </v>
      </c>
      <c r="J73" s="18" t="str">
        <f>'1st Innings'!J73</f>
        <v>Sunil Samtani</v>
      </c>
      <c r="K73" s="18" t="str">
        <f>'1st Innings'!K73</f>
        <v xml:space="preserve">Liam Hammer </v>
      </c>
      <c r="L73" s="18" t="str">
        <f>'1st Innings'!L73</f>
        <v>Refan Desnika</v>
      </c>
      <c r="M73" s="18" t="str">
        <f>'1st Innings'!M73</f>
        <v>Srivathsan V B</v>
      </c>
      <c r="N73" s="18" t="str">
        <f>'1st Innings'!N73</f>
        <v>Mitesh Dingra</v>
      </c>
      <c r="O73" s="18" t="str">
        <f>'1st Innings'!O73</f>
        <v>Suren Khetan</v>
      </c>
      <c r="P73" s="18" t="str">
        <f>'1st Innings'!P73</f>
        <v>Riski Sanjaya</v>
      </c>
      <c r="Q73" s="58"/>
      <c r="S73" s="3"/>
      <c r="T73" s="3"/>
      <c r="U73" s="60"/>
      <c r="V73" s="3"/>
      <c r="W73" s="60"/>
      <c r="X73" s="60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62">
      <c r="A74" s="18" t="str">
        <f>'1st Innings'!A74</f>
        <v>Puji</v>
      </c>
      <c r="B74" s="18" t="str">
        <f>'1st Innings'!B74</f>
        <v>Mukesh Khetan</v>
      </c>
      <c r="C74" s="18" t="str">
        <f>'1st Innings'!C74</f>
        <v>Rilshad Thanduparakkal</v>
      </c>
      <c r="D74" s="18" t="str">
        <f>'1st Innings'!D74</f>
        <v>Lindsay Wood</v>
      </c>
      <c r="E74" s="18" t="str">
        <f>'1st Innings'!E74</f>
        <v>Subhashish Parida</v>
      </c>
      <c r="F74" s="18" t="str">
        <f>'1st Innings'!F74</f>
        <v>Rahul Thukral</v>
      </c>
      <c r="G74" s="18" t="str">
        <f>'1st Innings'!G74</f>
        <v>Santosh Kumar</v>
      </c>
      <c r="H74" s="18" t="str">
        <f>'1st Innings'!H74</f>
        <v>Pratyush Chaturvedi</v>
      </c>
      <c r="I74" s="18" t="str">
        <f>'1st Innings'!I74</f>
        <v xml:space="preserve">Kanav Choudary </v>
      </c>
      <c r="J74" s="18" t="str">
        <f>'1st Innings'!J74</f>
        <v>Vasudevan Rangasamy</v>
      </c>
      <c r="K74" s="18" t="str">
        <f>'1st Innings'!K74</f>
        <v>Alistair Mann</v>
      </c>
      <c r="L74" s="18" t="str">
        <f>'1st Innings'!L74</f>
        <v>Ridwan Amin</v>
      </c>
      <c r="M74" s="18" t="str">
        <f>'1st Innings'!M74</f>
        <v>Suresh Chidambaram</v>
      </c>
      <c r="N74" s="18" t="str">
        <f>'1st Innings'!N74</f>
        <v>Mufasil Mufasil</v>
      </c>
      <c r="O74" s="18" t="str">
        <f>'1st Innings'!O74</f>
        <v>Susil  Khanna</v>
      </c>
      <c r="P74" s="18" t="str">
        <f>'1st Innings'!P74</f>
        <v>Saini Sumit</v>
      </c>
      <c r="Q74" s="58"/>
      <c r="S74" s="3"/>
      <c r="T74" s="3"/>
      <c r="U74" s="60"/>
      <c r="V74" s="60"/>
      <c r="W74" s="60"/>
      <c r="X74" s="60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62">
      <c r="A75" s="18" t="str">
        <f>'1st Innings'!A75</f>
        <v>Rajeev Rajeswaran</v>
      </c>
      <c r="B75" s="18" t="str">
        <f>'1st Innings'!B75</f>
        <v>Nalaka Kodituwakku</v>
      </c>
      <c r="C75" s="18" t="str">
        <f>'1st Innings'!C75</f>
        <v>Sandeep Salunke</v>
      </c>
      <c r="D75" s="18" t="str">
        <f>'1st Innings'!D75</f>
        <v>Malay Trivedi</v>
      </c>
      <c r="E75" s="18" t="str">
        <f>'1st Innings'!E75</f>
        <v>Sudir Sharma</v>
      </c>
      <c r="F75" s="18" t="str">
        <f>'1st Innings'!F75</f>
        <v>Ravinder Singh</v>
      </c>
      <c r="G75" s="18" t="str">
        <f>'1st Innings'!G75</f>
        <v>Vasudevan Parthasarathy</v>
      </c>
      <c r="H75" s="18" t="str">
        <f>'1st Innings'!H75</f>
        <v>Qamar Alam</v>
      </c>
      <c r="I75" s="18" t="str">
        <f>'1st Innings'!I75</f>
        <v xml:space="preserve">Malik Arslan </v>
      </c>
      <c r="J75" s="18" t="str">
        <f>'1st Innings'!J75</f>
        <v>Vijay Kumar</v>
      </c>
      <c r="K75" s="18" t="str">
        <f>'1st Innings'!K75</f>
        <v>Sam Levick</v>
      </c>
      <c r="L75" s="18" t="str">
        <f>'1st Innings'!L75</f>
        <v>Rudolf Febyant Matatias</v>
      </c>
      <c r="M75" s="18" t="str">
        <f>'1st Innings'!M75</f>
        <v>Venkatesh Rajendran</v>
      </c>
      <c r="N75" s="18" t="str">
        <f>'1st Innings'!N75</f>
        <v>Pradeep Patnaik</v>
      </c>
      <c r="O75" s="18" t="str">
        <f>'1st Innings'!O75</f>
        <v>Swaroop Chavan J.</v>
      </c>
      <c r="P75" s="18" t="str">
        <f>'1st Innings'!P75</f>
        <v>Shivanand Daddimani</v>
      </c>
      <c r="Q75" s="58"/>
      <c r="S75" s="3"/>
      <c r="T75" s="3"/>
      <c r="U75" s="60"/>
      <c r="V75" s="3"/>
      <c r="W75" s="60"/>
      <c r="X75" s="60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62">
      <c r="A76" s="18" t="str">
        <f>'1st Innings'!A76</f>
        <v>Raksheeth Agarwal</v>
      </c>
      <c r="B76" s="18" t="str">
        <f>'1st Innings'!B76</f>
        <v>Praveen Uppal</v>
      </c>
      <c r="C76" s="18" t="str">
        <f>'1st Innings'!C76</f>
        <v>Sathyanarayana Mendarkar</v>
      </c>
      <c r="D76" s="18" t="str">
        <f>'1st Innings'!D76</f>
        <v>Mark Bruny</v>
      </c>
      <c r="E76" s="18" t="str">
        <f>'1st Innings'!E76</f>
        <v>Suresh Kumar</v>
      </c>
      <c r="F76" s="18" t="str">
        <f>'1st Innings'!F76</f>
        <v>Rikesh Parikh</v>
      </c>
      <c r="G76" s="18">
        <f>'1st Innings'!G76</f>
        <v>0</v>
      </c>
      <c r="H76" s="18" t="str">
        <f>'1st Innings'!H76</f>
        <v>Sharad Detha</v>
      </c>
      <c r="I76" s="18" t="str">
        <f>'1st Innings'!I76</f>
        <v>Muhaddis Muhaddis</v>
      </c>
      <c r="J76" s="18" t="str">
        <f>'1st Innings'!J76</f>
        <v>Vimal  Mohan</v>
      </c>
      <c r="K76" s="18" t="str">
        <f>'1st Innings'!K76</f>
        <v>Brenton Harris</v>
      </c>
      <c r="L76" s="18" t="str">
        <f>'1st Innings'!L76</f>
        <v>Sachin Gopalan</v>
      </c>
      <c r="M76" s="18">
        <f>'1st Innings'!M76</f>
        <v>0</v>
      </c>
      <c r="N76" s="18" t="str">
        <f>'1st Innings'!N76</f>
        <v>Prashant Kamat</v>
      </c>
      <c r="O76" s="18" t="str">
        <f>'1st Innings'!O76</f>
        <v>Vijay Srinivasan</v>
      </c>
      <c r="P76" s="18" t="str">
        <f>'1st Innings'!P76</f>
        <v>Sridhar Sasikumar (Vice Captain)</v>
      </c>
      <c r="Q76" s="58"/>
      <c r="S76" s="3"/>
      <c r="T76" s="3"/>
      <c r="U76" s="60"/>
      <c r="V76" s="3"/>
      <c r="W76" s="60"/>
      <c r="X76" s="60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</row>
    <row r="77" spans="1:62">
      <c r="A77" s="18" t="str">
        <f>'1st Innings'!A77</f>
        <v>Suda Arsa</v>
      </c>
      <c r="B77" s="18" t="str">
        <f>'1st Innings'!B77</f>
        <v>Raja Mohan Surya</v>
      </c>
      <c r="C77" s="18" t="str">
        <f>'1st Innings'!C77</f>
        <v>Shivansh Jain</v>
      </c>
      <c r="D77" s="18" t="str">
        <f>'1st Innings'!D77</f>
        <v>Mark Sims</v>
      </c>
      <c r="E77" s="18" t="str">
        <f>'1st Innings'!E77</f>
        <v>Vinod Verghese</v>
      </c>
      <c r="F77" s="18" t="str">
        <f>'1st Innings'!F77</f>
        <v>Shekhar Saraf</v>
      </c>
      <c r="G77" s="18">
        <f>'1st Innings'!G77</f>
        <v>0</v>
      </c>
      <c r="H77" s="18" t="str">
        <f>'1st Innings'!H77</f>
        <v>Sourav Bera</v>
      </c>
      <c r="I77" s="18" t="str">
        <f>'1st Innings'!I77</f>
        <v xml:space="preserve">Parag Haldankar </v>
      </c>
      <c r="J77" s="18" t="str">
        <f>'1st Innings'!J77</f>
        <v>Vimal  Nair</v>
      </c>
      <c r="K77" s="18" t="str">
        <f>'1st Innings'!K77</f>
        <v>Debmalaya Jana</v>
      </c>
      <c r="L77" s="18" t="str">
        <f>'1st Innings'!L77</f>
        <v>Widi Abdurahman Hamid</v>
      </c>
      <c r="M77" s="18">
        <f>'1st Innings'!M77</f>
        <v>0</v>
      </c>
      <c r="N77" s="18" t="str">
        <f>'1st Innings'!N77</f>
        <v>Praveen Praveen</v>
      </c>
      <c r="O77" s="18" t="str">
        <f>'1st Innings'!O77</f>
        <v>Viplow  Singh</v>
      </c>
      <c r="P77" s="18" t="str">
        <f>'1st Innings'!P77</f>
        <v>Suheal Ahmed Jaffery Kiranam</v>
      </c>
      <c r="Q77" s="58"/>
      <c r="S77" s="3"/>
      <c r="T77" s="3"/>
      <c r="U77" s="60"/>
      <c r="V77" s="60"/>
      <c r="W77" s="60"/>
      <c r="X77" s="60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</row>
    <row r="78" spans="1:62">
      <c r="A78" s="18" t="str">
        <f>'1st Innings'!A78</f>
        <v>Suhail Modak</v>
      </c>
      <c r="B78" s="18" t="str">
        <f>'1st Innings'!B78</f>
        <v>Rajeev Kumar</v>
      </c>
      <c r="C78" s="18" t="str">
        <f>'1st Innings'!C78</f>
        <v>Sumeet Tiwari</v>
      </c>
      <c r="D78" s="18" t="str">
        <f>'1st Innings'!D78</f>
        <v>Olivier Bouwmeester</v>
      </c>
      <c r="E78" s="18" t="str">
        <f>'1st Innings'!E78</f>
        <v>Vishnu Kumar</v>
      </c>
      <c r="F78" s="18" t="str">
        <f>'1st Innings'!F78</f>
        <v>Subhash Mogdil</v>
      </c>
      <c r="G78" s="18">
        <f>'1st Innings'!G78</f>
        <v>0</v>
      </c>
      <c r="H78" s="18">
        <f>'1st Innings'!H78</f>
        <v>0</v>
      </c>
      <c r="I78" s="18" t="str">
        <f>'1st Innings'!I78</f>
        <v xml:space="preserve">Prakash Vijaykumar </v>
      </c>
      <c r="J78" s="18" t="str">
        <f>'1st Innings'!J78</f>
        <v>Vivek Nath Balasundaram</v>
      </c>
      <c r="K78" s="18" t="str">
        <f>'1st Innings'!K78</f>
        <v>Tim Simpson</v>
      </c>
      <c r="L78" s="18" t="str">
        <f>'1st Innings'!L78</f>
        <v>Yeri Rosongna</v>
      </c>
      <c r="M78" s="18">
        <f>'1st Innings'!M78</f>
        <v>0</v>
      </c>
      <c r="N78" s="18" t="str">
        <f>'1st Innings'!N78</f>
        <v>Rakesh Rathore</v>
      </c>
      <c r="O78" s="18" t="str">
        <f>'1st Innings'!O78</f>
        <v>Vishal  Grag</v>
      </c>
      <c r="P78" s="18" t="str">
        <f>'1st Innings'!P78</f>
        <v>Uttam Singh Gyan Singh (Contact)</v>
      </c>
      <c r="Q78" s="58"/>
      <c r="S78" s="3"/>
      <c r="T78" s="3"/>
      <c r="U78" s="60"/>
      <c r="V78" s="3"/>
      <c r="W78" s="60"/>
      <c r="X78" s="60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</row>
    <row r="79" spans="1:62">
      <c r="A79" s="18" t="str">
        <f>'1st Innings'!A79</f>
        <v>Tim Watson</v>
      </c>
      <c r="B79" s="18" t="str">
        <f>'1st Innings'!B79</f>
        <v>Raju Raju</v>
      </c>
      <c r="C79" s="18" t="str">
        <f>'1st Innings'!C79</f>
        <v>Syed Hameed</v>
      </c>
      <c r="D79" s="18" t="str">
        <f>'1st Innings'!D79</f>
        <v>Pete C ClarK</v>
      </c>
      <c r="E79" s="18" t="str">
        <f>'1st Innings'!E79</f>
        <v>Vishwajit Tripathi</v>
      </c>
      <c r="F79" s="18" t="str">
        <f>'1st Innings'!F79</f>
        <v>Sushant Gambhir</v>
      </c>
      <c r="G79" s="18">
        <f>'1st Innings'!G79</f>
        <v>0</v>
      </c>
      <c r="H79" s="18">
        <f>'1st Innings'!H79</f>
        <v>0</v>
      </c>
      <c r="I79" s="18" t="str">
        <f>'1st Innings'!I79</f>
        <v xml:space="preserve">Prem Subramanian </v>
      </c>
      <c r="J79" s="18">
        <f>'1st Innings'!J79</f>
        <v>0</v>
      </c>
      <c r="K79" s="18" t="str">
        <f>'1st Innings'!K79</f>
        <v>DJ Mathew</v>
      </c>
      <c r="L79" s="18">
        <f>'1st Innings'!L79</f>
        <v>0</v>
      </c>
      <c r="M79" s="18">
        <f>'1st Innings'!M79</f>
        <v>0</v>
      </c>
      <c r="N79" s="18" t="str">
        <f>'1st Innings'!N79</f>
        <v>Rakesh Sharma</v>
      </c>
      <c r="O79" s="18">
        <f>'1st Innings'!O79</f>
        <v>0</v>
      </c>
      <c r="P79" s="18" t="str">
        <f>'1st Innings'!P79</f>
        <v>Vijay Kumar</v>
      </c>
      <c r="Q79" s="58"/>
      <c r="S79" s="3"/>
      <c r="T79" s="3"/>
      <c r="U79" s="60"/>
      <c r="V79" s="3"/>
      <c r="W79" s="60"/>
      <c r="X79" s="60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</row>
    <row r="80" spans="1:62">
      <c r="A80" s="18" t="str">
        <f>'1st Innings'!A80</f>
        <v>Toby Nugent</v>
      </c>
      <c r="B80" s="18" t="str">
        <f>'1st Innings'!B80</f>
        <v>Raksheeth Agarwal</v>
      </c>
      <c r="C80" s="18" t="str">
        <f>'1st Innings'!C80</f>
        <v>Tanpure Manoj</v>
      </c>
      <c r="D80" s="18" t="str">
        <f>'1st Innings'!D80</f>
        <v>Prakash Kewlani</v>
      </c>
      <c r="E80" s="18" t="str">
        <f>'1st Innings'!E80</f>
        <v>Sandeep Kukkar</v>
      </c>
      <c r="F80" s="18">
        <f>'1st Innings'!F80</f>
        <v>0</v>
      </c>
      <c r="G80" s="18">
        <f>'1st Innings'!G80</f>
        <v>0</v>
      </c>
      <c r="H80" s="18">
        <f>'1st Innings'!H80</f>
        <v>0</v>
      </c>
      <c r="I80" s="18" t="str">
        <f>'1st Innings'!I80</f>
        <v xml:space="preserve">Puneet Khurana </v>
      </c>
      <c r="J80" s="18">
        <f>'1st Innings'!J80</f>
        <v>0</v>
      </c>
      <c r="K80" s="18" t="str">
        <f>'1st Innings'!K80</f>
        <v>Rohit Nair</v>
      </c>
      <c r="L80" s="18">
        <f>'1st Innings'!L80</f>
        <v>0</v>
      </c>
      <c r="M80" s="18">
        <f>'1st Innings'!M80</f>
        <v>0</v>
      </c>
      <c r="N80" s="18" t="str">
        <f>'1st Innings'!N80</f>
        <v>Ramesh Dubagunta</v>
      </c>
      <c r="O80" s="18">
        <f>'1st Innings'!O80</f>
        <v>0</v>
      </c>
      <c r="P80" s="18" t="str">
        <f>'1st Innings'!P80</f>
        <v>Yashpal Rathor</v>
      </c>
      <c r="Q80" s="58"/>
      <c r="S80" s="3"/>
      <c r="T80" s="3"/>
      <c r="U80" s="60"/>
      <c r="V80" s="3"/>
      <c r="W80" s="60"/>
      <c r="X80" s="60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66">
      <c r="A81" s="18" t="str">
        <f>'1st Innings'!A81</f>
        <v>Viraj Bhammar</v>
      </c>
      <c r="B81" s="18" t="str">
        <f>'1st Innings'!B81</f>
        <v>Ram Krishnan</v>
      </c>
      <c r="C81" s="18" t="str">
        <f>'1st Innings'!C81</f>
        <v>Vijay Krishnan</v>
      </c>
      <c r="D81" s="18" t="str">
        <f>'1st Innings'!D81</f>
        <v>Reuben Brimage</v>
      </c>
      <c r="E81" s="18">
        <f>'1st Innings'!E81</f>
        <v>0</v>
      </c>
      <c r="F81" s="18">
        <f>'1st Innings'!F81</f>
        <v>0</v>
      </c>
      <c r="G81" s="18">
        <f>'1st Innings'!G81</f>
        <v>0</v>
      </c>
      <c r="H81" s="18">
        <f>'1st Innings'!H81</f>
        <v>0</v>
      </c>
      <c r="I81" s="18" t="str">
        <f>'1st Innings'!I81</f>
        <v xml:space="preserve">Raj Kapadia </v>
      </c>
      <c r="J81" s="18">
        <f>'1st Innings'!J81</f>
        <v>0</v>
      </c>
      <c r="K81" s="18" t="str">
        <f>'1st Innings'!K81</f>
        <v xml:space="preserve">Simon Williams </v>
      </c>
      <c r="L81" s="18">
        <f>'1st Innings'!L81</f>
        <v>0</v>
      </c>
      <c r="M81" s="18">
        <f>'1st Innings'!M81</f>
        <v>0</v>
      </c>
      <c r="N81" s="18" t="str">
        <f>'1st Innings'!N81</f>
        <v>Rinkesh Khosla</v>
      </c>
      <c r="O81" s="18">
        <f>'1st Innings'!O81</f>
        <v>0</v>
      </c>
      <c r="P81" s="18">
        <f>'1st Innings'!P81</f>
        <v>0</v>
      </c>
      <c r="Q81" s="58"/>
      <c r="S81" s="3"/>
      <c r="T81" s="3"/>
      <c r="U81" s="60"/>
      <c r="V81" s="3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</row>
    <row r="82" spans="1:66">
      <c r="A82" s="18" t="str">
        <f>'1st Innings'!A82</f>
        <v>Wilfred Schultz</v>
      </c>
      <c r="B82" s="18" t="str">
        <f>'1st Innings'!B82</f>
        <v>Randy Reckerman</v>
      </c>
      <c r="C82" s="18" t="str">
        <f>'1st Innings'!C82</f>
        <v>Zaid Malkani</v>
      </c>
      <c r="D82" s="18" t="str">
        <f>'1st Innings'!D82</f>
        <v>Rick Monaghan</v>
      </c>
      <c r="E82" s="18">
        <f>'1st Innings'!E82</f>
        <v>0</v>
      </c>
      <c r="F82" s="18">
        <f>'1st Innings'!F82</f>
        <v>0</v>
      </c>
      <c r="G82" s="18">
        <f>'1st Innings'!G82</f>
        <v>0</v>
      </c>
      <c r="H82" s="18">
        <f>'1st Innings'!H82</f>
        <v>0</v>
      </c>
      <c r="I82" s="18" t="str">
        <f>'1st Innings'!I82</f>
        <v xml:space="preserve">Rajiv Ramnarayan </v>
      </c>
      <c r="J82" s="18">
        <f>'1st Innings'!J82</f>
        <v>0</v>
      </c>
      <c r="K82" s="18" t="str">
        <f>'1st Innings'!K82</f>
        <v xml:space="preserve">Stew Lyons </v>
      </c>
      <c r="L82" s="18">
        <f>'1st Innings'!L82</f>
        <v>0</v>
      </c>
      <c r="M82" s="18">
        <f>'1st Innings'!M82</f>
        <v>0</v>
      </c>
      <c r="N82" s="18" t="str">
        <f>'1st Innings'!N82</f>
        <v>Roopesh Shah</v>
      </c>
      <c r="O82" s="18">
        <f>'1st Innings'!O82</f>
        <v>0</v>
      </c>
      <c r="P82" s="18">
        <f>'1st Innings'!P82</f>
        <v>0</v>
      </c>
      <c r="Q82" s="58"/>
      <c r="S82" s="3"/>
      <c r="T82" s="3"/>
      <c r="U82" s="60"/>
      <c r="V82" s="3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</row>
    <row r="83" spans="1:66">
      <c r="A83" s="18" t="str">
        <f>'1st Innings'!A83</f>
        <v>William Noronha</v>
      </c>
      <c r="B83" s="18" t="str">
        <f>'1st Innings'!B83</f>
        <v>Rasil Nonis</v>
      </c>
      <c r="C83" s="18">
        <f>'1st Innings'!C83</f>
        <v>0</v>
      </c>
      <c r="D83" s="18" t="str">
        <f>'1st Innings'!D83</f>
        <v>Robert Baldwin</v>
      </c>
      <c r="E83" s="18">
        <f>'1st Innings'!E83</f>
        <v>0</v>
      </c>
      <c r="F83" s="18">
        <f>'1st Innings'!F83</f>
        <v>0</v>
      </c>
      <c r="G83" s="18">
        <f>'1st Innings'!G83</f>
        <v>0</v>
      </c>
      <c r="H83" s="18">
        <f>'1st Innings'!H83</f>
        <v>0</v>
      </c>
      <c r="I83" s="18" t="str">
        <f>'1st Innings'!I83</f>
        <v xml:space="preserve">Sandesh Pawar </v>
      </c>
      <c r="J83" s="18">
        <f>'1st Innings'!J83</f>
        <v>0</v>
      </c>
      <c r="K83" s="18" t="str">
        <f>'1st Innings'!K83</f>
        <v xml:space="preserve">Mark Soffer </v>
      </c>
      <c r="L83" s="18">
        <f>'1st Innings'!L83</f>
        <v>0</v>
      </c>
      <c r="M83" s="18">
        <f>'1st Innings'!M83</f>
        <v>0</v>
      </c>
      <c r="N83" s="18" t="str">
        <f>'1st Innings'!N83</f>
        <v>Roy Roy</v>
      </c>
      <c r="O83" s="18">
        <f>'1st Innings'!O83</f>
        <v>0</v>
      </c>
      <c r="P83" s="18">
        <f>'1st Innings'!P83</f>
        <v>0</v>
      </c>
      <c r="Q83" s="58"/>
      <c r="S83" s="3"/>
      <c r="T83" s="3"/>
      <c r="U83" s="60"/>
      <c r="V83" s="3"/>
      <c r="W83" s="60"/>
      <c r="X83" s="60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66">
      <c r="A84" s="18">
        <f>'1st Innings'!A84</f>
        <v>0</v>
      </c>
      <c r="B84" s="18" t="str">
        <f>'1st Innings'!B84</f>
        <v>Riaz Ur Rahman</v>
      </c>
      <c r="C84" s="18">
        <f>'1st Innings'!C84</f>
        <v>0</v>
      </c>
      <c r="D84" s="18" t="str">
        <f>'1st Innings'!D84</f>
        <v>Sam Mabey</v>
      </c>
      <c r="E84" s="18">
        <f>'1st Innings'!E84</f>
        <v>0</v>
      </c>
      <c r="F84" s="18">
        <f>'1st Innings'!F84</f>
        <v>0</v>
      </c>
      <c r="G84" s="18">
        <f>'1st Innings'!G84</f>
        <v>0</v>
      </c>
      <c r="H84" s="18">
        <f>'1st Innings'!H84</f>
        <v>0</v>
      </c>
      <c r="I84" s="18" t="str">
        <f>'1st Innings'!I84</f>
        <v xml:space="preserve">Shubho Sarkar </v>
      </c>
      <c r="J84" s="18">
        <f>'1st Innings'!J84</f>
        <v>0</v>
      </c>
      <c r="K84" s="18" t="str">
        <f>'1st Innings'!K84</f>
        <v xml:space="preserve">Dick Slaney </v>
      </c>
      <c r="L84" s="18">
        <f>'1st Innings'!L84</f>
        <v>0</v>
      </c>
      <c r="M84" s="18">
        <f>'1st Innings'!M84</f>
        <v>0</v>
      </c>
      <c r="N84" s="18" t="str">
        <f>'1st Innings'!N84</f>
        <v>Sambi</v>
      </c>
      <c r="O84" s="18">
        <f>'1st Innings'!O84</f>
        <v>0</v>
      </c>
      <c r="P84" s="18">
        <f>'1st Innings'!P84</f>
        <v>0</v>
      </c>
      <c r="Q84" s="58"/>
      <c r="S84" s="3"/>
      <c r="T84" s="3"/>
      <c r="U84" s="60"/>
      <c r="V84" s="3"/>
      <c r="W84" s="60"/>
      <c r="X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1:66">
      <c r="A85" s="18">
        <f>'1st Innings'!A85</f>
        <v>0</v>
      </c>
      <c r="B85" s="18" t="str">
        <f>'1st Innings'!B85</f>
        <v>Sabry Salahudeen</v>
      </c>
      <c r="C85" s="18">
        <f>'1st Innings'!C85</f>
        <v>0</v>
      </c>
      <c r="D85" s="18" t="str">
        <f>'1st Innings'!D85</f>
        <v>Sam Mirza</v>
      </c>
      <c r="E85" s="18">
        <f>'1st Innings'!E85</f>
        <v>0</v>
      </c>
      <c r="F85" s="18">
        <f>'1st Innings'!F85</f>
        <v>0</v>
      </c>
      <c r="G85" s="18">
        <f>'1st Innings'!G85</f>
        <v>0</v>
      </c>
      <c r="H85" s="18">
        <f>'1st Innings'!H85</f>
        <v>0</v>
      </c>
      <c r="I85" s="18" t="str">
        <f>'1st Innings'!I85</f>
        <v xml:space="preserve">Shubhraneel Mitra </v>
      </c>
      <c r="J85" s="18">
        <f>'1st Innings'!J85</f>
        <v>0</v>
      </c>
      <c r="K85" s="18" t="str">
        <f>'1st Innings'!K85</f>
        <v xml:space="preserve">Phil Reid </v>
      </c>
      <c r="L85" s="18">
        <f>'1st Innings'!L85</f>
        <v>0</v>
      </c>
      <c r="M85" s="18">
        <f>'1st Innings'!M85</f>
        <v>0</v>
      </c>
      <c r="N85" s="18" t="str">
        <f>'1st Innings'!N85</f>
        <v>Samir Sharma</v>
      </c>
      <c r="O85" s="18">
        <f>'1st Innings'!O85</f>
        <v>0</v>
      </c>
      <c r="P85" s="18">
        <f>'1st Innings'!P85</f>
        <v>0</v>
      </c>
      <c r="Q85" s="58"/>
      <c r="S85" s="3"/>
      <c r="T85" s="3"/>
      <c r="U85" s="60"/>
      <c r="V85" s="3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6">
      <c r="A86" s="18">
        <f>'1st Innings'!A86</f>
        <v>0</v>
      </c>
      <c r="B86" s="18" t="str">
        <f>'1st Innings'!B86</f>
        <v>Saheel Riyal</v>
      </c>
      <c r="C86" s="18">
        <f>'1st Innings'!C86</f>
        <v>0</v>
      </c>
      <c r="D86" s="18" t="str">
        <f>'1st Innings'!D86</f>
        <v>Saul Andrews</v>
      </c>
      <c r="E86" s="18">
        <f>'1st Innings'!E86</f>
        <v>0</v>
      </c>
      <c r="F86" s="18">
        <f>'1st Innings'!F86</f>
        <v>0</v>
      </c>
      <c r="G86" s="18">
        <f>'1st Innings'!G86</f>
        <v>0</v>
      </c>
      <c r="H86" s="18">
        <f>'1st Innings'!H86</f>
        <v>0</v>
      </c>
      <c r="I86" s="18" t="str">
        <f>'1st Innings'!I86</f>
        <v>Sucheet Parikh</v>
      </c>
      <c r="J86" s="18">
        <f>'1st Innings'!J86</f>
        <v>0</v>
      </c>
      <c r="K86" s="18" t="str">
        <f>'1st Innings'!K86</f>
        <v xml:space="preserve">Davin Frankel </v>
      </c>
      <c r="L86" s="18">
        <f>'1st Innings'!L86</f>
        <v>0</v>
      </c>
      <c r="M86" s="18">
        <f>'1st Innings'!M86</f>
        <v>0</v>
      </c>
      <c r="N86" s="18" t="str">
        <f>'1st Innings'!N86</f>
        <v>Sandeep Gaikwad</v>
      </c>
      <c r="O86" s="18">
        <f>'1st Innings'!O86</f>
        <v>0</v>
      </c>
      <c r="P86" s="18">
        <f>'1st Innings'!P86</f>
        <v>0</v>
      </c>
      <c r="Q86" s="58"/>
      <c r="S86" s="3"/>
      <c r="T86" s="3"/>
      <c r="U86" s="60"/>
      <c r="V86" s="3"/>
      <c r="W86" s="60"/>
      <c r="X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6">
      <c r="A87" s="18">
        <f>'1st Innings'!A87</f>
        <v>0</v>
      </c>
      <c r="B87" s="18" t="str">
        <f>'1st Innings'!B87</f>
        <v>Sajith Pullarkat</v>
      </c>
      <c r="C87" s="18">
        <f>'1st Innings'!C87</f>
        <v>0</v>
      </c>
      <c r="D87" s="18" t="str">
        <f>'1st Innings'!D87</f>
        <v>scott masson</v>
      </c>
      <c r="E87" s="18">
        <f>'1st Innings'!E87</f>
        <v>0</v>
      </c>
      <c r="F87" s="18">
        <f>'1st Innings'!F87</f>
        <v>0</v>
      </c>
      <c r="G87" s="18">
        <f>'1st Innings'!G87</f>
        <v>0</v>
      </c>
      <c r="H87" s="18">
        <f>'1st Innings'!H87</f>
        <v>0</v>
      </c>
      <c r="I87" s="18">
        <f>'1st Innings'!I87</f>
        <v>0</v>
      </c>
      <c r="J87" s="18">
        <f>'1st Innings'!J87</f>
        <v>0</v>
      </c>
      <c r="K87" s="18" t="str">
        <f>'1st Innings'!K87</f>
        <v>James Trewin</v>
      </c>
      <c r="L87" s="18">
        <f>'1st Innings'!L87</f>
        <v>0</v>
      </c>
      <c r="M87" s="18">
        <f>'1st Innings'!M87</f>
        <v>0</v>
      </c>
      <c r="N87" s="18" t="str">
        <f>'1st Innings'!N87</f>
        <v>Sanjeev Modi</v>
      </c>
      <c r="O87" s="18">
        <f>'1st Innings'!O87</f>
        <v>0</v>
      </c>
      <c r="P87" s="18">
        <f>'1st Innings'!P87</f>
        <v>0</v>
      </c>
      <c r="Q87" s="58"/>
      <c r="S87" s="3"/>
      <c r="T87" s="3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6">
      <c r="A88" s="18">
        <f>'1st Innings'!A88</f>
        <v>0</v>
      </c>
      <c r="B88" s="18" t="str">
        <f>'1st Innings'!B88</f>
        <v>Shubham Shubham</v>
      </c>
      <c r="C88" s="18">
        <f>'1st Innings'!C88</f>
        <v>0</v>
      </c>
      <c r="D88" s="18" t="str">
        <f>'1st Innings'!D88</f>
        <v>Sean Hankin</v>
      </c>
      <c r="E88" s="18">
        <f>'1st Innings'!E88</f>
        <v>0</v>
      </c>
      <c r="F88" s="18">
        <f>'1st Innings'!F88</f>
        <v>0</v>
      </c>
      <c r="G88" s="18">
        <f>'1st Innings'!G88</f>
        <v>0</v>
      </c>
      <c r="H88" s="18">
        <f>'1st Innings'!H88</f>
        <v>0</v>
      </c>
      <c r="I88" s="18">
        <f>'1st Innings'!I88</f>
        <v>0</v>
      </c>
      <c r="J88" s="18">
        <f>'1st Innings'!J88</f>
        <v>0</v>
      </c>
      <c r="K88" s="18" t="str">
        <f>'1st Innings'!K88</f>
        <v>Sivarama Yegnaraman</v>
      </c>
      <c r="L88" s="18">
        <f>'1st Innings'!L88</f>
        <v>0</v>
      </c>
      <c r="M88" s="18">
        <f>'1st Innings'!M88</f>
        <v>0</v>
      </c>
      <c r="N88" s="18" t="str">
        <f>'1st Innings'!N88</f>
        <v>Satish Pansare</v>
      </c>
      <c r="O88" s="18">
        <f>'1st Innings'!O88</f>
        <v>0</v>
      </c>
      <c r="P88" s="18">
        <f>'1st Innings'!P88</f>
        <v>0</v>
      </c>
      <c r="Q88" s="58"/>
      <c r="S88" s="3"/>
      <c r="T88" s="3"/>
      <c r="U88" s="60"/>
      <c r="V88" s="3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6">
      <c r="A89" s="18">
        <f>'1st Innings'!A89</f>
        <v>0</v>
      </c>
      <c r="B89" s="18" t="str">
        <f>'1st Innings'!B89</f>
        <v>Srinath Fernando</v>
      </c>
      <c r="C89" s="18">
        <f>'1st Innings'!C89</f>
        <v>0</v>
      </c>
      <c r="D89" s="18" t="str">
        <f>'1st Innings'!D89</f>
        <v>Shannon Leary</v>
      </c>
      <c r="E89" s="18">
        <f>'1st Innings'!E89</f>
        <v>0</v>
      </c>
      <c r="F89" s="18">
        <f>'1st Innings'!F89</f>
        <v>0</v>
      </c>
      <c r="G89" s="18">
        <f>'1st Innings'!G89</f>
        <v>0</v>
      </c>
      <c r="H89" s="18">
        <f>'1st Innings'!H89</f>
        <v>0</v>
      </c>
      <c r="I89" s="18">
        <f>'1st Innings'!I89</f>
        <v>0</v>
      </c>
      <c r="J89" s="18">
        <f>'1st Innings'!J89</f>
        <v>0</v>
      </c>
      <c r="K89" s="18">
        <f>'1st Innings'!K89</f>
        <v>0</v>
      </c>
      <c r="L89" s="18">
        <f>'1st Innings'!L89</f>
        <v>0</v>
      </c>
      <c r="M89" s="18">
        <f>'1st Innings'!M89</f>
        <v>0</v>
      </c>
      <c r="N89" s="18" t="str">
        <f>'1st Innings'!N89</f>
        <v>Shankar CS</v>
      </c>
      <c r="O89" s="18">
        <f>'1st Innings'!O89</f>
        <v>0</v>
      </c>
      <c r="P89" s="18">
        <f>'1st Innings'!P89</f>
        <v>0</v>
      </c>
      <c r="Q89" s="58"/>
      <c r="R89" s="3"/>
      <c r="S89" s="3"/>
      <c r="T89" s="3"/>
      <c r="U89" s="60"/>
      <c r="V89" s="3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6">
      <c r="A90" s="18">
        <f>'1st Innings'!A90</f>
        <v>0</v>
      </c>
      <c r="B90" s="18" t="str">
        <f>'1st Innings'!B90</f>
        <v>Subramonia Gopalakrishnan</v>
      </c>
      <c r="C90" s="18">
        <f>'1st Innings'!C90</f>
        <v>0</v>
      </c>
      <c r="D90" s="18" t="str">
        <f>'1st Innings'!D90</f>
        <v>Steve Cheshire</v>
      </c>
      <c r="E90" s="18">
        <f>'1st Innings'!E90</f>
        <v>0</v>
      </c>
      <c r="F90" s="18">
        <f>'1st Innings'!F90</f>
        <v>0</v>
      </c>
      <c r="G90" s="18">
        <f>'1st Innings'!G90</f>
        <v>0</v>
      </c>
      <c r="H90" s="18">
        <f>'1st Innings'!H90</f>
        <v>0</v>
      </c>
      <c r="I90" s="18">
        <f>'1st Innings'!I90</f>
        <v>0</v>
      </c>
      <c r="J90" s="18">
        <f>'1st Innings'!J90</f>
        <v>0</v>
      </c>
      <c r="K90" s="18">
        <f>'1st Innings'!K90</f>
        <v>0</v>
      </c>
      <c r="L90" s="18">
        <f>'1st Innings'!L90</f>
        <v>0</v>
      </c>
      <c r="M90" s="18">
        <f>'1st Innings'!M90</f>
        <v>0</v>
      </c>
      <c r="N90" s="18" t="str">
        <f>'1st Innings'!N90</f>
        <v>Shekar Saraf</v>
      </c>
      <c r="O90" s="18">
        <f>'1st Innings'!O90</f>
        <v>0</v>
      </c>
      <c r="P90" s="18">
        <f>'1st Innings'!P90</f>
        <v>0</v>
      </c>
      <c r="Q90" s="58"/>
      <c r="R90" s="3"/>
      <c r="S90" s="3"/>
      <c r="T90" s="3"/>
      <c r="U90" s="60"/>
      <c r="V90" s="3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</row>
    <row r="91" spans="1:66">
      <c r="A91" s="18">
        <f>'1st Innings'!A91</f>
        <v>0</v>
      </c>
      <c r="B91" s="18" t="str">
        <f>'1st Innings'!B91</f>
        <v>Supun Nonis</v>
      </c>
      <c r="C91" s="18">
        <f>'1st Innings'!C91</f>
        <v>0</v>
      </c>
      <c r="D91" s="18" t="str">
        <f>'1st Innings'!D91</f>
        <v>Tim Moore</v>
      </c>
      <c r="E91" s="18">
        <f>'1st Innings'!E91</f>
        <v>0</v>
      </c>
      <c r="F91" s="18">
        <f>'1st Innings'!F91</f>
        <v>0</v>
      </c>
      <c r="G91" s="18">
        <f>'1st Innings'!G91</f>
        <v>0</v>
      </c>
      <c r="H91" s="18">
        <f>'1st Innings'!H91</f>
        <v>0</v>
      </c>
      <c r="I91" s="18">
        <f>'1st Innings'!I91</f>
        <v>0</v>
      </c>
      <c r="J91" s="18">
        <f>'1st Innings'!J91</f>
        <v>0</v>
      </c>
      <c r="K91" s="18">
        <f>'1st Innings'!K91</f>
        <v>0</v>
      </c>
      <c r="L91" s="18">
        <f>'1st Innings'!L91</f>
        <v>0</v>
      </c>
      <c r="M91" s="18">
        <f>'1st Innings'!M91</f>
        <v>0</v>
      </c>
      <c r="N91" s="18" t="str">
        <f>'1st Innings'!N91</f>
        <v>Shivaz Monga</v>
      </c>
      <c r="O91" s="18">
        <f>'1st Innings'!O91</f>
        <v>0</v>
      </c>
      <c r="P91" s="18">
        <f>'1st Innings'!P91</f>
        <v>0</v>
      </c>
      <c r="Q91" s="58"/>
      <c r="R91" s="3"/>
      <c r="S91" s="3"/>
      <c r="T91" s="3"/>
      <c r="U91" s="60"/>
      <c r="V91" s="3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1:66">
      <c r="A92" s="18">
        <f>'1st Innings'!A92</f>
        <v>0</v>
      </c>
      <c r="B92" s="18" t="str">
        <f>'1st Innings'!B92</f>
        <v>Tarun Agarwal</v>
      </c>
      <c r="C92" s="18">
        <f>'1st Innings'!C92</f>
        <v>0</v>
      </c>
      <c r="D92" s="18" t="str">
        <f>'1st Innings'!D92</f>
        <v>Tim Gutsell</v>
      </c>
      <c r="E92" s="18">
        <f>'1st Innings'!E92</f>
        <v>0</v>
      </c>
      <c r="F92" s="18">
        <f>'1st Innings'!F92</f>
        <v>0</v>
      </c>
      <c r="G92" s="18">
        <f>'1st Innings'!G92</f>
        <v>0</v>
      </c>
      <c r="H92" s="18">
        <f>'1st Innings'!H92</f>
        <v>0</v>
      </c>
      <c r="I92" s="18">
        <f>'1st Innings'!I92</f>
        <v>0</v>
      </c>
      <c r="J92" s="18">
        <f>'1st Innings'!J92</f>
        <v>0</v>
      </c>
      <c r="K92" s="18">
        <f>'1st Innings'!K92</f>
        <v>0</v>
      </c>
      <c r="L92" s="18">
        <f>'1st Innings'!L92</f>
        <v>0</v>
      </c>
      <c r="M92" s="18">
        <f>'1st Innings'!M92</f>
        <v>0</v>
      </c>
      <c r="N92" s="18" t="str">
        <f>'1st Innings'!N92</f>
        <v>Shobit Tandon</v>
      </c>
      <c r="O92" s="18">
        <f>'1st Innings'!O92</f>
        <v>0</v>
      </c>
      <c r="P92" s="18">
        <f>'1st Innings'!P92</f>
        <v>0</v>
      </c>
      <c r="Q92" s="58"/>
      <c r="R92" s="3"/>
      <c r="S92" s="3"/>
      <c r="T92" s="3"/>
      <c r="U92" s="60"/>
      <c r="V92" s="3"/>
      <c r="W92" s="60"/>
      <c r="X92" s="60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</row>
    <row r="93" spans="1:66">
      <c r="A93" s="18">
        <f>'1st Innings'!A93</f>
        <v>0</v>
      </c>
      <c r="B93" s="18" t="str">
        <f>'1st Innings'!B93</f>
        <v>Timothy Pushpakumara</v>
      </c>
      <c r="C93" s="18">
        <f>'1st Innings'!C93</f>
        <v>0</v>
      </c>
      <c r="D93" s="18">
        <f>'1st Innings'!D93</f>
        <v>0</v>
      </c>
      <c r="E93" s="18">
        <f>'1st Innings'!E93</f>
        <v>0</v>
      </c>
      <c r="F93" s="18">
        <f>'1st Innings'!F93</f>
        <v>0</v>
      </c>
      <c r="G93" s="18">
        <f>'1st Innings'!G93</f>
        <v>0</v>
      </c>
      <c r="H93" s="18">
        <f>'1st Innings'!H93</f>
        <v>0</v>
      </c>
      <c r="I93" s="18">
        <f>'1st Innings'!I93</f>
        <v>0</v>
      </c>
      <c r="J93" s="18">
        <f>'1st Innings'!J93</f>
        <v>0</v>
      </c>
      <c r="K93" s="18">
        <f>'1st Innings'!K93</f>
        <v>0</v>
      </c>
      <c r="L93" s="18">
        <f>'1st Innings'!L93</f>
        <v>0</v>
      </c>
      <c r="M93" s="18">
        <f>'1st Innings'!M93</f>
        <v>0</v>
      </c>
      <c r="N93" s="18" t="str">
        <f>'1st Innings'!N93</f>
        <v>Vishav Sharma</v>
      </c>
      <c r="O93" s="18">
        <f>'1st Innings'!O93</f>
        <v>0</v>
      </c>
      <c r="P93" s="18">
        <f>'1st Innings'!P93</f>
        <v>0</v>
      </c>
      <c r="Q93" s="58"/>
      <c r="R93" s="3"/>
      <c r="S93" s="3"/>
      <c r="T93" s="3"/>
      <c r="U93" s="60"/>
      <c r="V93" s="3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</row>
    <row r="94" spans="1:66">
      <c r="A94" s="18">
        <f>'1st Innings'!A94</f>
        <v>0</v>
      </c>
      <c r="B94" s="18" t="str">
        <f>'1st Innings'!B94</f>
        <v>Usman Afridi</v>
      </c>
      <c r="C94" s="18">
        <f>'1st Innings'!C94</f>
        <v>0</v>
      </c>
      <c r="D94" s="18">
        <f>'1st Innings'!D94</f>
        <v>0</v>
      </c>
      <c r="E94" s="18">
        <f>'1st Innings'!E94</f>
        <v>0</v>
      </c>
      <c r="F94" s="18">
        <f>'1st Innings'!F94</f>
        <v>0</v>
      </c>
      <c r="G94" s="18">
        <f>'1st Innings'!G94</f>
        <v>0</v>
      </c>
      <c r="H94" s="18">
        <f>'1st Innings'!H94</f>
        <v>0</v>
      </c>
      <c r="I94" s="18">
        <f>'1st Innings'!I94</f>
        <v>0</v>
      </c>
      <c r="J94" s="18">
        <f>'1st Innings'!J94</f>
        <v>0</v>
      </c>
      <c r="K94" s="18">
        <f>'1st Innings'!K94</f>
        <v>0</v>
      </c>
      <c r="L94" s="18">
        <f>'1st Innings'!L94</f>
        <v>0</v>
      </c>
      <c r="M94" s="18">
        <f>'1st Innings'!M94</f>
        <v>0</v>
      </c>
      <c r="N94" s="18" t="str">
        <f>'1st Innings'!N94</f>
        <v>Yogish Lad</v>
      </c>
      <c r="O94" s="18">
        <f>'1st Innings'!O94</f>
        <v>0</v>
      </c>
      <c r="P94" s="18">
        <f>'1st Innings'!P94</f>
        <v>0</v>
      </c>
      <c r="Q94" s="58"/>
      <c r="R94" s="3"/>
      <c r="S94" s="3"/>
      <c r="T94" s="3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</row>
    <row r="95" spans="1:66">
      <c r="A95" s="18">
        <f>'1st Innings'!A95</f>
        <v>0</v>
      </c>
      <c r="B95" s="18" t="str">
        <f>'1st Innings'!B95</f>
        <v>Vipul Jain</v>
      </c>
      <c r="C95" s="18">
        <f>'1st Innings'!C95</f>
        <v>0</v>
      </c>
      <c r="D95" s="18">
        <f>'1st Innings'!D95</f>
        <v>0</v>
      </c>
      <c r="E95" s="18">
        <f>'1st Innings'!E95</f>
        <v>0</v>
      </c>
      <c r="F95" s="18">
        <f>'1st Innings'!F95</f>
        <v>0</v>
      </c>
      <c r="G95" s="18">
        <f>'1st Innings'!G95</f>
        <v>0</v>
      </c>
      <c r="H95" s="18">
        <f>'1st Innings'!H95</f>
        <v>0</v>
      </c>
      <c r="I95" s="18">
        <f>'1st Innings'!I95</f>
        <v>0</v>
      </c>
      <c r="J95" s="18">
        <f>'1st Innings'!J95</f>
        <v>0</v>
      </c>
      <c r="K95" s="18">
        <f>'1st Innings'!K95</f>
        <v>0</v>
      </c>
      <c r="L95" s="18">
        <f>'1st Innings'!L95</f>
        <v>0</v>
      </c>
      <c r="M95" s="18">
        <f>'1st Innings'!M95</f>
        <v>0</v>
      </c>
      <c r="N95" s="18">
        <f>'1st Innings'!N95</f>
        <v>0</v>
      </c>
      <c r="O95" s="18">
        <f>'1st Innings'!O95</f>
        <v>0</v>
      </c>
      <c r="P95" s="18">
        <f>'1st Innings'!P95</f>
        <v>0</v>
      </c>
      <c r="Q95" s="58"/>
      <c r="R95" s="3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</row>
    <row r="96" spans="1:66">
      <c r="A96" s="18">
        <f>'1st Innings'!A96</f>
        <v>0</v>
      </c>
      <c r="B96" s="18" t="str">
        <f>'1st Innings'!B96</f>
        <v>Vishnu Kumar</v>
      </c>
      <c r="C96" s="18">
        <f>'1st Innings'!C96</f>
        <v>0</v>
      </c>
      <c r="D96" s="18">
        <f>'1st Innings'!D96</f>
        <v>0</v>
      </c>
      <c r="E96" s="18">
        <f>'1st Innings'!E96</f>
        <v>0</v>
      </c>
      <c r="F96" s="18">
        <f>'1st Innings'!F96</f>
        <v>0</v>
      </c>
      <c r="G96" s="18">
        <f>'1st Innings'!G96</f>
        <v>0</v>
      </c>
      <c r="H96" s="18">
        <f>'1st Innings'!H96</f>
        <v>0</v>
      </c>
      <c r="I96" s="18">
        <f>'1st Innings'!I96</f>
        <v>0</v>
      </c>
      <c r="J96" s="18">
        <f>'1st Innings'!J96</f>
        <v>0</v>
      </c>
      <c r="K96" s="18">
        <f>'1st Innings'!K96</f>
        <v>0</v>
      </c>
      <c r="L96" s="18">
        <f>'1st Innings'!L96</f>
        <v>0</v>
      </c>
      <c r="M96" s="18">
        <f>'1st Innings'!M96</f>
        <v>0</v>
      </c>
      <c r="N96" s="18">
        <f>'1st Innings'!N96</f>
        <v>0</v>
      </c>
      <c r="O96" s="18">
        <f>'1st Innings'!O96</f>
        <v>0</v>
      </c>
      <c r="P96" s="18">
        <f>'1st Innings'!P96</f>
        <v>0</v>
      </c>
      <c r="Q96" s="58"/>
      <c r="R96" s="3"/>
      <c r="S96" s="3"/>
      <c r="T96" s="60"/>
      <c r="U96" s="3"/>
      <c r="V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</row>
    <row r="97" spans="1:69">
      <c r="A97" s="18">
        <f>'1st Innings'!A97</f>
        <v>0</v>
      </c>
      <c r="B97" s="18">
        <f>'1st Innings'!B97</f>
        <v>0</v>
      </c>
      <c r="C97" s="18">
        <f>'1st Innings'!C97</f>
        <v>0</v>
      </c>
      <c r="D97" s="18">
        <f>'1st Innings'!D97</f>
        <v>0</v>
      </c>
      <c r="E97" s="18">
        <f>'1st Innings'!E97</f>
        <v>0</v>
      </c>
      <c r="F97" s="18">
        <f>'1st Innings'!F97</f>
        <v>0</v>
      </c>
      <c r="G97" s="18">
        <f>'1st Innings'!G97</f>
        <v>0</v>
      </c>
      <c r="H97" s="18">
        <f>'1st Innings'!H97</f>
        <v>0</v>
      </c>
      <c r="I97" s="18">
        <f>'1st Innings'!I97</f>
        <v>0</v>
      </c>
      <c r="J97" s="18">
        <f>'1st Innings'!J97</f>
        <v>0</v>
      </c>
      <c r="K97" s="18">
        <f>'1st Innings'!K97</f>
        <v>0</v>
      </c>
      <c r="L97" s="18">
        <f>'1st Innings'!L97</f>
        <v>0</v>
      </c>
      <c r="M97" s="18">
        <f>'1st Innings'!M97</f>
        <v>0</v>
      </c>
      <c r="N97" s="18">
        <f>'1st Innings'!N97</f>
        <v>0</v>
      </c>
      <c r="O97" s="18">
        <f>'1st Innings'!O97</f>
        <v>0</v>
      </c>
      <c r="P97" s="18">
        <f>'1st Innings'!P97</f>
        <v>0</v>
      </c>
      <c r="Q97" s="58"/>
      <c r="R97" s="3"/>
      <c r="S97" s="3"/>
      <c r="T97" s="60"/>
      <c r="U97" s="60"/>
      <c r="V97" s="60"/>
      <c r="W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</row>
    <row r="98" spans="1:69">
      <c r="A98" s="18">
        <f>'1st Innings'!A98</f>
        <v>0</v>
      </c>
      <c r="B98" s="18">
        <f>'1st Innings'!B98</f>
        <v>0</v>
      </c>
      <c r="C98" s="18">
        <f>'1st Innings'!C98</f>
        <v>0</v>
      </c>
      <c r="D98" s="18">
        <f>'1st Innings'!D98</f>
        <v>0</v>
      </c>
      <c r="E98" s="18">
        <f>'1st Innings'!E98</f>
        <v>0</v>
      </c>
      <c r="F98" s="18">
        <f>'1st Innings'!F98</f>
        <v>0</v>
      </c>
      <c r="G98" s="18">
        <f>'1st Innings'!G98</f>
        <v>0</v>
      </c>
      <c r="H98" s="18">
        <f>'1st Innings'!H98</f>
        <v>0</v>
      </c>
      <c r="I98" s="18">
        <f>'1st Innings'!I98</f>
        <v>0</v>
      </c>
      <c r="J98" s="18">
        <f>'1st Innings'!J98</f>
        <v>0</v>
      </c>
      <c r="K98" s="18">
        <f>'1st Innings'!K98</f>
        <v>0</v>
      </c>
      <c r="L98" s="18">
        <f>'1st Innings'!L98</f>
        <v>0</v>
      </c>
      <c r="M98" s="18">
        <f>'1st Innings'!M98</f>
        <v>0</v>
      </c>
      <c r="N98" s="18">
        <f>'1st Innings'!N98</f>
        <v>0</v>
      </c>
      <c r="O98" s="18">
        <f>'1st Innings'!O98</f>
        <v>0</v>
      </c>
      <c r="P98" s="18">
        <f>'1st Innings'!P98</f>
        <v>0</v>
      </c>
      <c r="Q98" s="58"/>
      <c r="R98" s="3"/>
      <c r="S98" s="3"/>
      <c r="T98" s="60"/>
      <c r="U98" s="3"/>
      <c r="V98" s="60"/>
      <c r="W98" s="60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9">
      <c r="A99" s="18">
        <f>'1st Innings'!A99</f>
        <v>0</v>
      </c>
      <c r="B99" s="18">
        <f>'1st Innings'!B99</f>
        <v>0</v>
      </c>
      <c r="C99" s="18">
        <f>'1st Innings'!C99</f>
        <v>0</v>
      </c>
      <c r="D99" s="18">
        <f>'1st Innings'!D99</f>
        <v>0</v>
      </c>
      <c r="E99" s="18">
        <f>'1st Innings'!E99</f>
        <v>0</v>
      </c>
      <c r="F99" s="18">
        <f>'1st Innings'!F99</f>
        <v>0</v>
      </c>
      <c r="G99" s="18">
        <f>'1st Innings'!G99</f>
        <v>0</v>
      </c>
      <c r="H99" s="18">
        <f>'1st Innings'!H99</f>
        <v>0</v>
      </c>
      <c r="I99" s="18">
        <f>'1st Innings'!I99</f>
        <v>0</v>
      </c>
      <c r="J99" s="18">
        <f>'1st Innings'!J99</f>
        <v>0</v>
      </c>
      <c r="K99" s="18">
        <f>'1st Innings'!K99</f>
        <v>0</v>
      </c>
      <c r="L99" s="18">
        <f>'1st Innings'!L99</f>
        <v>0</v>
      </c>
      <c r="M99" s="18">
        <f>'1st Innings'!M99</f>
        <v>0</v>
      </c>
      <c r="N99" s="18">
        <f>'1st Innings'!N99</f>
        <v>0</v>
      </c>
      <c r="O99" s="18">
        <f>'1st Innings'!O99</f>
        <v>0</v>
      </c>
      <c r="P99" s="18">
        <f>'1st Innings'!P99</f>
        <v>0</v>
      </c>
      <c r="Q99" s="58"/>
      <c r="R99" s="3"/>
      <c r="S99" s="3"/>
      <c r="T99" s="60"/>
      <c r="U99" s="60"/>
      <c r="V99" s="60"/>
      <c r="W99" s="60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</row>
    <row r="100" spans="1:69">
      <c r="A100" s="18">
        <f>'1st Innings'!A100</f>
        <v>0</v>
      </c>
      <c r="B100" s="18">
        <f>'1st Innings'!B100</f>
        <v>0</v>
      </c>
      <c r="C100" s="18">
        <f>'1st Innings'!C100</f>
        <v>0</v>
      </c>
      <c r="D100" s="18">
        <f>'1st Innings'!D100</f>
        <v>0</v>
      </c>
      <c r="E100" s="18">
        <f>'1st Innings'!E100</f>
        <v>0</v>
      </c>
      <c r="F100" s="18">
        <f>'1st Innings'!F100</f>
        <v>0</v>
      </c>
      <c r="G100" s="18">
        <f>'1st Innings'!G100</f>
        <v>0</v>
      </c>
      <c r="H100" s="18">
        <f>'1st Innings'!H100</f>
        <v>0</v>
      </c>
      <c r="I100" s="18">
        <f>'1st Innings'!I100</f>
        <v>0</v>
      </c>
      <c r="J100" s="18">
        <f>'1st Innings'!J100</f>
        <v>0</v>
      </c>
      <c r="K100" s="18">
        <f>'1st Innings'!K100</f>
        <v>0</v>
      </c>
      <c r="L100" s="18">
        <f>'1st Innings'!L100</f>
        <v>0</v>
      </c>
      <c r="M100" s="18">
        <f>'1st Innings'!M100</f>
        <v>0</v>
      </c>
      <c r="N100" s="18">
        <f>'1st Innings'!N100</f>
        <v>0</v>
      </c>
      <c r="O100" s="18">
        <f>'1st Innings'!O100</f>
        <v>0</v>
      </c>
      <c r="P100" s="18">
        <f>'1st Innings'!P100</f>
        <v>0</v>
      </c>
      <c r="Q100" s="58"/>
      <c r="R100" s="3"/>
      <c r="S100" s="3"/>
      <c r="T100" s="60"/>
      <c r="U100" s="3"/>
      <c r="V100" s="60"/>
      <c r="W100" s="60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</row>
    <row r="101" spans="1:69">
      <c r="A101" s="18">
        <f>'1st Innings'!A101</f>
        <v>0</v>
      </c>
      <c r="B101" s="18">
        <f>'1st Innings'!B101</f>
        <v>0</v>
      </c>
      <c r="C101" s="18">
        <f>'1st Innings'!C101</f>
        <v>0</v>
      </c>
      <c r="D101" s="18">
        <f>'1st Innings'!D101</f>
        <v>0</v>
      </c>
      <c r="E101" s="18">
        <f>'1st Innings'!E101</f>
        <v>0</v>
      </c>
      <c r="F101" s="18">
        <f>'1st Innings'!F101</f>
        <v>0</v>
      </c>
      <c r="G101" s="18">
        <f>'1st Innings'!G101</f>
        <v>0</v>
      </c>
      <c r="H101" s="18">
        <f>'1st Innings'!H101</f>
        <v>0</v>
      </c>
      <c r="I101" s="18">
        <f>'1st Innings'!I101</f>
        <v>0</v>
      </c>
      <c r="J101" s="18">
        <f>'1st Innings'!J101</f>
        <v>0</v>
      </c>
      <c r="K101" s="18">
        <f>'1st Innings'!K101</f>
        <v>0</v>
      </c>
      <c r="L101" s="18">
        <f>'1st Innings'!L101</f>
        <v>0</v>
      </c>
      <c r="M101" s="18">
        <f>'1st Innings'!M101</f>
        <v>0</v>
      </c>
      <c r="N101" s="18">
        <f>'1st Innings'!N101</f>
        <v>0</v>
      </c>
      <c r="O101" s="18">
        <f>'1st Innings'!O101</f>
        <v>0</v>
      </c>
      <c r="P101" s="18">
        <f>'1st Innings'!P101</f>
        <v>0</v>
      </c>
      <c r="Q101" s="58"/>
      <c r="S101" s="3"/>
      <c r="T101" s="60"/>
      <c r="U101" s="3"/>
      <c r="V101" s="60"/>
      <c r="W101" s="60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9">
      <c r="A102" s="18">
        <f>'1st Innings'!A102</f>
        <v>0</v>
      </c>
      <c r="B102" s="18">
        <f>'1st Innings'!B102</f>
        <v>0</v>
      </c>
      <c r="C102" s="18">
        <f>'1st Innings'!C102</f>
        <v>0</v>
      </c>
      <c r="D102" s="18">
        <f>'1st Innings'!D102</f>
        <v>0</v>
      </c>
      <c r="E102" s="18">
        <f>'1st Innings'!E102</f>
        <v>0</v>
      </c>
      <c r="F102" s="18">
        <f>'1st Innings'!F102</f>
        <v>0</v>
      </c>
      <c r="G102" s="18">
        <f>'1st Innings'!G102</f>
        <v>0</v>
      </c>
      <c r="H102" s="18">
        <f>'1st Innings'!H102</f>
        <v>0</v>
      </c>
      <c r="I102" s="18">
        <f>'1st Innings'!I102</f>
        <v>0</v>
      </c>
      <c r="J102" s="18">
        <f>'1st Innings'!J102</f>
        <v>0</v>
      </c>
      <c r="K102" s="18">
        <f>'1st Innings'!K102</f>
        <v>0</v>
      </c>
      <c r="L102" s="18">
        <f>'1st Innings'!L102</f>
        <v>0</v>
      </c>
      <c r="M102" s="18">
        <f>'1st Innings'!M102</f>
        <v>0</v>
      </c>
      <c r="N102" s="18">
        <f>'1st Innings'!N102</f>
        <v>0</v>
      </c>
      <c r="O102" s="18">
        <f>'1st Innings'!O102</f>
        <v>0</v>
      </c>
      <c r="P102" s="18">
        <f>'1st Innings'!P102</f>
        <v>0</v>
      </c>
      <c r="Q102" s="58"/>
      <c r="R102" s="61"/>
      <c r="S102" s="3"/>
      <c r="T102" s="60"/>
      <c r="U102" s="3"/>
      <c r="V102" s="60"/>
      <c r="W102" s="60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9">
      <c r="A103" s="18">
        <f>'1st Innings'!A103</f>
        <v>0</v>
      </c>
      <c r="B103" s="18">
        <f>'1st Innings'!B103</f>
        <v>0</v>
      </c>
      <c r="C103" s="18">
        <f>'1st Innings'!C103</f>
        <v>0</v>
      </c>
      <c r="D103" s="18">
        <f>'1st Innings'!D103</f>
        <v>0</v>
      </c>
      <c r="E103" s="18">
        <f>'1st Innings'!E103</f>
        <v>0</v>
      </c>
      <c r="F103" s="18">
        <f>'1st Innings'!F103</f>
        <v>0</v>
      </c>
      <c r="G103" s="18">
        <f>'1st Innings'!G103</f>
        <v>0</v>
      </c>
      <c r="H103" s="18">
        <f>'1st Innings'!H103</f>
        <v>0</v>
      </c>
      <c r="I103" s="18">
        <f>'1st Innings'!I103</f>
        <v>0</v>
      </c>
      <c r="J103" s="18">
        <f>'1st Innings'!J103</f>
        <v>0</v>
      </c>
      <c r="K103" s="18">
        <f>'1st Innings'!K103</f>
        <v>0</v>
      </c>
      <c r="L103" s="18">
        <f>'1st Innings'!L103</f>
        <v>0</v>
      </c>
      <c r="M103" s="18">
        <f>'1st Innings'!M103</f>
        <v>0</v>
      </c>
      <c r="N103" s="18">
        <f>'1st Innings'!N103</f>
        <v>0</v>
      </c>
      <c r="O103" s="18">
        <f>'1st Innings'!O103</f>
        <v>0</v>
      </c>
      <c r="P103" s="18">
        <f>'1st Innings'!P103</f>
        <v>0</v>
      </c>
      <c r="Q103" s="58"/>
      <c r="R103" s="61"/>
      <c r="S103" s="3"/>
      <c r="T103" s="60"/>
      <c r="U103" s="3"/>
      <c r="V103" s="60"/>
      <c r="W103" s="60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9">
      <c r="A104" s="18">
        <f>'1st Innings'!A104</f>
        <v>0</v>
      </c>
      <c r="B104" s="18">
        <f>'1st Innings'!B104</f>
        <v>0</v>
      </c>
      <c r="C104" s="18">
        <f>'1st Innings'!C104</f>
        <v>0</v>
      </c>
      <c r="D104" s="18">
        <f>'1st Innings'!D104</f>
        <v>0</v>
      </c>
      <c r="E104" s="18">
        <f>'1st Innings'!E104</f>
        <v>0</v>
      </c>
      <c r="F104" s="18">
        <f>'1st Innings'!F104</f>
        <v>0</v>
      </c>
      <c r="G104" s="18">
        <f>'1st Innings'!G104</f>
        <v>0</v>
      </c>
      <c r="H104" s="18">
        <f>'1st Innings'!H104</f>
        <v>0</v>
      </c>
      <c r="I104" s="18">
        <f>'1st Innings'!I104</f>
        <v>0</v>
      </c>
      <c r="J104" s="18">
        <f>'1st Innings'!J104</f>
        <v>0</v>
      </c>
      <c r="K104" s="18">
        <f>'1st Innings'!K104</f>
        <v>0</v>
      </c>
      <c r="L104" s="18">
        <f>'1st Innings'!L104</f>
        <v>0</v>
      </c>
      <c r="M104" s="18">
        <f>'1st Innings'!M104</f>
        <v>0</v>
      </c>
      <c r="N104" s="18">
        <f>'1st Innings'!N104</f>
        <v>0</v>
      </c>
      <c r="O104" s="18">
        <f>'1st Innings'!O104</f>
        <v>0</v>
      </c>
      <c r="P104" s="18">
        <f>'1st Innings'!P104</f>
        <v>0</v>
      </c>
      <c r="Q104" s="58"/>
      <c r="R104" s="61"/>
      <c r="S104" s="3"/>
      <c r="T104" s="60"/>
      <c r="U104" s="60"/>
      <c r="V104" s="60"/>
      <c r="W104" s="60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9">
      <c r="A105" s="18">
        <f>'1st Innings'!A105</f>
        <v>0</v>
      </c>
      <c r="B105" s="18">
        <f>'1st Innings'!B105</f>
        <v>0</v>
      </c>
      <c r="C105" s="18">
        <f>'1st Innings'!C105</f>
        <v>0</v>
      </c>
      <c r="D105" s="18">
        <f>'1st Innings'!D105</f>
        <v>0</v>
      </c>
      <c r="E105" s="18">
        <f>'1st Innings'!E105</f>
        <v>0</v>
      </c>
      <c r="F105" s="18">
        <f>'1st Innings'!F105</f>
        <v>0</v>
      </c>
      <c r="G105" s="18">
        <f>'1st Innings'!G105</f>
        <v>0</v>
      </c>
      <c r="H105" s="18">
        <f>'1st Innings'!H105</f>
        <v>0</v>
      </c>
      <c r="I105" s="18">
        <f>'1st Innings'!I105</f>
        <v>0</v>
      </c>
      <c r="J105" s="18">
        <f>'1st Innings'!J105</f>
        <v>0</v>
      </c>
      <c r="K105" s="18">
        <f>'1st Innings'!K105</f>
        <v>0</v>
      </c>
      <c r="L105" s="18">
        <f>'1st Innings'!L105</f>
        <v>0</v>
      </c>
      <c r="M105" s="18">
        <f>'1st Innings'!M105</f>
        <v>0</v>
      </c>
      <c r="N105" s="18">
        <f>'1st Innings'!N105</f>
        <v>0</v>
      </c>
      <c r="O105" s="18">
        <f>'1st Innings'!O105</f>
        <v>0</v>
      </c>
      <c r="P105" s="18">
        <f>'1st Innings'!P105</f>
        <v>0</v>
      </c>
      <c r="Q105" s="58"/>
      <c r="R105" s="61"/>
      <c r="S105" s="3"/>
      <c r="T105" s="60"/>
      <c r="U105" s="3"/>
      <c r="V105" s="60"/>
      <c r="W105" s="60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9">
      <c r="A106" s="18">
        <f>'1st Innings'!A106</f>
        <v>0</v>
      </c>
      <c r="B106" s="18">
        <f>'1st Innings'!B106</f>
        <v>0</v>
      </c>
      <c r="C106" s="18">
        <f>'1st Innings'!C106</f>
        <v>0</v>
      </c>
      <c r="D106" s="18">
        <f>'1st Innings'!D106</f>
        <v>0</v>
      </c>
      <c r="E106" s="18">
        <f>'1st Innings'!E106</f>
        <v>0</v>
      </c>
      <c r="F106" s="18">
        <f>'1st Innings'!F106</f>
        <v>0</v>
      </c>
      <c r="G106" s="18">
        <f>'1st Innings'!G106</f>
        <v>0</v>
      </c>
      <c r="H106" s="18">
        <f>'1st Innings'!H106</f>
        <v>0</v>
      </c>
      <c r="I106" s="18">
        <f>'1st Innings'!I106</f>
        <v>0</v>
      </c>
      <c r="J106" s="18">
        <f>'1st Innings'!J106</f>
        <v>0</v>
      </c>
      <c r="K106" s="18">
        <f>'1st Innings'!K106</f>
        <v>0</v>
      </c>
      <c r="L106" s="18">
        <f>'1st Innings'!L106</f>
        <v>0</v>
      </c>
      <c r="M106" s="18">
        <f>'1st Innings'!M106</f>
        <v>0</v>
      </c>
      <c r="N106" s="18">
        <f>'1st Innings'!N106</f>
        <v>0</v>
      </c>
      <c r="O106" s="18">
        <f>'1st Innings'!O106</f>
        <v>0</v>
      </c>
      <c r="P106" s="18">
        <f>'1st Innings'!P106</f>
        <v>0</v>
      </c>
      <c r="Q106" s="58"/>
      <c r="R106" s="61"/>
      <c r="S106" s="3"/>
      <c r="T106" s="60"/>
      <c r="U106" s="3"/>
      <c r="V106" s="60"/>
      <c r="W106" s="60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9">
      <c r="A107" s="18">
        <f>'1st Innings'!A107</f>
        <v>0</v>
      </c>
      <c r="B107" s="18">
        <f>'1st Innings'!B107</f>
        <v>0</v>
      </c>
      <c r="C107" s="18">
        <f>'1st Innings'!C107</f>
        <v>0</v>
      </c>
      <c r="D107" s="18">
        <f>'1st Innings'!D107</f>
        <v>0</v>
      </c>
      <c r="E107" s="18">
        <f>'1st Innings'!E107</f>
        <v>0</v>
      </c>
      <c r="F107" s="18">
        <f>'1st Innings'!F107</f>
        <v>0</v>
      </c>
      <c r="G107" s="18">
        <f>'1st Innings'!G107</f>
        <v>0</v>
      </c>
      <c r="H107" s="18">
        <f>'1st Innings'!H107</f>
        <v>0</v>
      </c>
      <c r="I107" s="18">
        <f>'1st Innings'!I107</f>
        <v>0</v>
      </c>
      <c r="J107" s="18">
        <f>'1st Innings'!J107</f>
        <v>0</v>
      </c>
      <c r="K107" s="18">
        <f>'1st Innings'!K107</f>
        <v>0</v>
      </c>
      <c r="L107" s="18">
        <f>'1st Innings'!L107</f>
        <v>0</v>
      </c>
      <c r="M107" s="18">
        <f>'1st Innings'!M107</f>
        <v>0</v>
      </c>
      <c r="N107" s="18">
        <f>'1st Innings'!N107</f>
        <v>0</v>
      </c>
      <c r="O107" s="18">
        <f>'1st Innings'!O107</f>
        <v>0</v>
      </c>
      <c r="P107" s="18">
        <f>'1st Innings'!P107</f>
        <v>0</v>
      </c>
      <c r="Q107" s="58"/>
      <c r="R107" s="61"/>
      <c r="S107" s="3"/>
      <c r="T107" s="60"/>
      <c r="U107" s="60"/>
      <c r="V107" s="60"/>
      <c r="W107" s="60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</row>
    <row r="108" spans="1:69">
      <c r="A108" s="18">
        <f>'1st Innings'!A108</f>
        <v>0</v>
      </c>
      <c r="B108" s="18">
        <f>'1st Innings'!B108</f>
        <v>0</v>
      </c>
      <c r="C108" s="18">
        <f>'1st Innings'!C108</f>
        <v>0</v>
      </c>
      <c r="D108" s="18">
        <f>'1st Innings'!D108</f>
        <v>0</v>
      </c>
      <c r="E108" s="18">
        <f>'1st Innings'!E108</f>
        <v>0</v>
      </c>
      <c r="F108" s="18">
        <f>'1st Innings'!F108</f>
        <v>0</v>
      </c>
      <c r="G108" s="18">
        <f>'1st Innings'!G108</f>
        <v>0</v>
      </c>
      <c r="H108" s="18">
        <f>'1st Innings'!H108</f>
        <v>0</v>
      </c>
      <c r="I108" s="18">
        <f>'1st Innings'!I108</f>
        <v>0</v>
      </c>
      <c r="J108" s="18">
        <f>'1st Innings'!J108</f>
        <v>0</v>
      </c>
      <c r="K108" s="18">
        <f>'1st Innings'!K108</f>
        <v>0</v>
      </c>
      <c r="L108" s="18">
        <f>'1st Innings'!L108</f>
        <v>0</v>
      </c>
      <c r="M108" s="18">
        <f>'1st Innings'!M108</f>
        <v>0</v>
      </c>
      <c r="N108" s="18">
        <f>'1st Innings'!N108</f>
        <v>0</v>
      </c>
      <c r="O108" s="18">
        <f>'1st Innings'!O108</f>
        <v>0</v>
      </c>
      <c r="P108" s="18">
        <f>'1st Innings'!P108</f>
        <v>0</v>
      </c>
      <c r="Q108" s="61"/>
      <c r="R108" s="61"/>
      <c r="W108" s="60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</row>
    <row r="109" spans="1:69">
      <c r="A109" s="18">
        <f>'1st Innings'!A109</f>
        <v>0</v>
      </c>
      <c r="B109" s="18">
        <f>'1st Innings'!B109</f>
        <v>0</v>
      </c>
      <c r="C109" s="18">
        <f>'1st Innings'!C109</f>
        <v>0</v>
      </c>
      <c r="D109" s="18">
        <f>'1st Innings'!D109</f>
        <v>0</v>
      </c>
      <c r="E109" s="18">
        <f>'1st Innings'!E109</f>
        <v>0</v>
      </c>
      <c r="F109" s="18">
        <f>'1st Innings'!F109</f>
        <v>0</v>
      </c>
      <c r="G109" s="18">
        <f>'1st Innings'!G109</f>
        <v>0</v>
      </c>
      <c r="H109" s="18">
        <f>'1st Innings'!H109</f>
        <v>0</v>
      </c>
      <c r="I109" s="18">
        <f>'1st Innings'!I109</f>
        <v>0</v>
      </c>
      <c r="J109" s="18">
        <f>'1st Innings'!J109</f>
        <v>0</v>
      </c>
      <c r="K109" s="18">
        <f>'1st Innings'!K109</f>
        <v>0</v>
      </c>
      <c r="L109" s="18">
        <f>'1st Innings'!L109</f>
        <v>0</v>
      </c>
      <c r="M109" s="18">
        <f>'1st Innings'!M109</f>
        <v>0</v>
      </c>
      <c r="N109" s="18">
        <f>'1st Innings'!N109</f>
        <v>0</v>
      </c>
      <c r="O109" s="18">
        <f>'1st Innings'!O109</f>
        <v>0</v>
      </c>
      <c r="P109" s="18">
        <f>'1st Innings'!P109</f>
        <v>0</v>
      </c>
      <c r="Q109" s="61"/>
      <c r="R109" s="61"/>
      <c r="S109" s="61"/>
      <c r="T109" s="61"/>
      <c r="U109" s="61"/>
      <c r="V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</row>
    <row r="110" spans="1:69">
      <c r="A110" s="18">
        <f>'1st Innings'!A110</f>
        <v>0</v>
      </c>
      <c r="B110" s="18">
        <f>'1st Innings'!B110</f>
        <v>0</v>
      </c>
      <c r="C110" s="18">
        <f>'1st Innings'!C110</f>
        <v>0</v>
      </c>
      <c r="D110" s="18">
        <f>'1st Innings'!D110</f>
        <v>0</v>
      </c>
      <c r="E110" s="18">
        <f>'1st Innings'!E110</f>
        <v>0</v>
      </c>
      <c r="F110" s="18">
        <f>'1st Innings'!F110</f>
        <v>0</v>
      </c>
      <c r="G110" s="18">
        <f>'1st Innings'!G110</f>
        <v>0</v>
      </c>
      <c r="H110" s="18">
        <f>'1st Innings'!H110</f>
        <v>0</v>
      </c>
      <c r="I110" s="18">
        <f>'1st Innings'!I110</f>
        <v>0</v>
      </c>
      <c r="J110" s="18">
        <f>'1st Innings'!J110</f>
        <v>0</v>
      </c>
      <c r="K110" s="18">
        <f>'1st Innings'!K110</f>
        <v>0</v>
      </c>
      <c r="L110" s="18">
        <f>'1st Innings'!L110</f>
        <v>0</v>
      </c>
      <c r="M110" s="18">
        <f>'1st Innings'!M110</f>
        <v>0</v>
      </c>
      <c r="N110" s="18">
        <f>'1st Innings'!N110</f>
        <v>0</v>
      </c>
      <c r="O110" s="18">
        <f>'1st Innings'!O110</f>
        <v>0</v>
      </c>
      <c r="P110" s="18">
        <f>'1st Innings'!P110</f>
        <v>0</v>
      </c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</row>
    <row r="111" spans="1:69">
      <c r="A111" s="18">
        <f>'1st Innings'!A111</f>
        <v>0</v>
      </c>
      <c r="B111" s="18">
        <f>'1st Innings'!B111</f>
        <v>0</v>
      </c>
      <c r="C111" s="18">
        <f>'1st Innings'!C111</f>
        <v>0</v>
      </c>
      <c r="D111" s="18">
        <f>'1st Innings'!D111</f>
        <v>0</v>
      </c>
      <c r="E111" s="18">
        <f>'1st Innings'!E111</f>
        <v>0</v>
      </c>
      <c r="F111" s="18">
        <f>'1st Innings'!F111</f>
        <v>0</v>
      </c>
      <c r="G111" s="18">
        <f>'1st Innings'!G111</f>
        <v>0</v>
      </c>
      <c r="H111" s="18">
        <f>'1st Innings'!H111</f>
        <v>0</v>
      </c>
      <c r="I111" s="18">
        <f>'1st Innings'!I111</f>
        <v>0</v>
      </c>
      <c r="J111" s="18">
        <f>'1st Innings'!J111</f>
        <v>0</v>
      </c>
      <c r="K111" s="18">
        <f>'1st Innings'!K111</f>
        <v>0</v>
      </c>
      <c r="L111" s="18">
        <f>'1st Innings'!L111</f>
        <v>0</v>
      </c>
      <c r="M111" s="18">
        <f>'1st Innings'!M111</f>
        <v>0</v>
      </c>
      <c r="N111" s="18">
        <f>'1st Innings'!N111</f>
        <v>0</v>
      </c>
      <c r="O111" s="18">
        <f>'1st Innings'!O111</f>
        <v>0</v>
      </c>
      <c r="P111" s="18">
        <f>'1st Innings'!P111</f>
        <v>0</v>
      </c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</row>
    <row r="112" spans="1:69">
      <c r="A112" s="18">
        <f>'1st Innings'!A112</f>
        <v>0</v>
      </c>
      <c r="B112" s="18">
        <f>'1st Innings'!B112</f>
        <v>0</v>
      </c>
      <c r="C112" s="18">
        <f>'1st Innings'!C112</f>
        <v>0</v>
      </c>
      <c r="D112" s="18">
        <f>'1st Innings'!D112</f>
        <v>0</v>
      </c>
      <c r="E112" s="18">
        <f>'1st Innings'!E112</f>
        <v>0</v>
      </c>
      <c r="F112" s="18">
        <f>'1st Innings'!F112</f>
        <v>0</v>
      </c>
      <c r="G112" s="18">
        <f>'1st Innings'!G112</f>
        <v>0</v>
      </c>
      <c r="H112" s="18">
        <f>'1st Innings'!H112</f>
        <v>0</v>
      </c>
      <c r="I112" s="18">
        <f>'1st Innings'!I112</f>
        <v>0</v>
      </c>
      <c r="J112" s="18">
        <f>'1st Innings'!J112</f>
        <v>0</v>
      </c>
      <c r="K112" s="18">
        <f>'1st Innings'!K112</f>
        <v>0</v>
      </c>
      <c r="L112" s="18">
        <f>'1st Innings'!L112</f>
        <v>0</v>
      </c>
      <c r="M112" s="18">
        <f>'1st Innings'!M112</f>
        <v>0</v>
      </c>
      <c r="N112" s="18">
        <f>'1st Innings'!N112</f>
        <v>0</v>
      </c>
      <c r="O112" s="18">
        <f>'1st Innings'!O112</f>
        <v>0</v>
      </c>
      <c r="P112" s="18">
        <f>'1st Innings'!P112</f>
        <v>0</v>
      </c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</row>
    <row r="113" spans="1:70">
      <c r="A113" s="18">
        <f>'1st Innings'!A113</f>
        <v>0</v>
      </c>
      <c r="B113" s="18">
        <f>'1st Innings'!B113</f>
        <v>0</v>
      </c>
      <c r="C113" s="18">
        <f>'1st Innings'!C113</f>
        <v>0</v>
      </c>
      <c r="D113" s="18">
        <f>'1st Innings'!D113</f>
        <v>0</v>
      </c>
      <c r="E113" s="18">
        <f>'1st Innings'!E113</f>
        <v>0</v>
      </c>
      <c r="F113" s="18">
        <f>'1st Innings'!F113</f>
        <v>0</v>
      </c>
      <c r="G113" s="18">
        <f>'1st Innings'!G113</f>
        <v>0</v>
      </c>
      <c r="H113" s="18">
        <f>'1st Innings'!H113</f>
        <v>0</v>
      </c>
      <c r="I113" s="18">
        <f>'1st Innings'!I113</f>
        <v>0</v>
      </c>
      <c r="J113" s="18">
        <f>'1st Innings'!J113</f>
        <v>0</v>
      </c>
      <c r="K113" s="18">
        <f>'1st Innings'!K113</f>
        <v>0</v>
      </c>
      <c r="L113" s="18">
        <f>'1st Innings'!L113</f>
        <v>0</v>
      </c>
      <c r="M113" s="18">
        <f>'1st Innings'!M113</f>
        <v>0</v>
      </c>
      <c r="N113" s="18">
        <f>'1st Innings'!N113</f>
        <v>0</v>
      </c>
      <c r="O113" s="18">
        <f>'1st Innings'!O113</f>
        <v>0</v>
      </c>
      <c r="P113" s="18">
        <f>'1st Innings'!P113</f>
        <v>0</v>
      </c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</row>
    <row r="114" spans="1:70">
      <c r="A114" s="18">
        <f>'1st Innings'!A114</f>
        <v>0</v>
      </c>
      <c r="B114" s="18">
        <f>'1st Innings'!B114</f>
        <v>0</v>
      </c>
      <c r="C114" s="18">
        <f>'1st Innings'!C114</f>
        <v>0</v>
      </c>
      <c r="D114" s="18">
        <f>'1st Innings'!D114</f>
        <v>0</v>
      </c>
      <c r="E114" s="18">
        <f>'1st Innings'!E114</f>
        <v>0</v>
      </c>
      <c r="F114" s="18">
        <f>'1st Innings'!F114</f>
        <v>0</v>
      </c>
      <c r="G114" s="18">
        <f>'1st Innings'!G114</f>
        <v>0</v>
      </c>
      <c r="H114" s="18">
        <f>'1st Innings'!H114</f>
        <v>0</v>
      </c>
      <c r="I114" s="18">
        <f>'1st Innings'!I114</f>
        <v>0</v>
      </c>
      <c r="J114" s="18">
        <f>'1st Innings'!J114</f>
        <v>0</v>
      </c>
      <c r="K114" s="18">
        <f>'1st Innings'!K114</f>
        <v>0</v>
      </c>
      <c r="L114" s="18">
        <f>'1st Innings'!L114</f>
        <v>0</v>
      </c>
      <c r="M114" s="18">
        <f>'1st Innings'!M114</f>
        <v>0</v>
      </c>
      <c r="N114" s="18">
        <f>'1st Innings'!N114</f>
        <v>0</v>
      </c>
      <c r="O114" s="18">
        <f>'1st Innings'!O114</f>
        <v>0</v>
      </c>
      <c r="P114" s="18">
        <f>'1st Innings'!P114</f>
        <v>0</v>
      </c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</row>
    <row r="115" spans="1:70">
      <c r="A115" s="18">
        <f>'1st Innings'!A115</f>
        <v>0</v>
      </c>
      <c r="B115" s="18">
        <f>'1st Innings'!B115</f>
        <v>0</v>
      </c>
      <c r="C115" s="18">
        <f>'1st Innings'!C115</f>
        <v>0</v>
      </c>
      <c r="D115" s="18">
        <f>'1st Innings'!D115</f>
        <v>0</v>
      </c>
      <c r="E115" s="18">
        <f>'1st Innings'!E115</f>
        <v>0</v>
      </c>
      <c r="F115" s="18">
        <f>'1st Innings'!F115</f>
        <v>0</v>
      </c>
      <c r="G115" s="18">
        <f>'1st Innings'!G115</f>
        <v>0</v>
      </c>
      <c r="H115" s="18">
        <f>'1st Innings'!H115</f>
        <v>0</v>
      </c>
      <c r="I115" s="18">
        <f>'1st Innings'!I115</f>
        <v>0</v>
      </c>
      <c r="J115" s="18">
        <f>'1st Innings'!J115</f>
        <v>0</v>
      </c>
      <c r="K115" s="18">
        <f>'1st Innings'!K115</f>
        <v>0</v>
      </c>
      <c r="L115" s="18">
        <f>'1st Innings'!L115</f>
        <v>0</v>
      </c>
      <c r="M115" s="18">
        <f>'1st Innings'!M115</f>
        <v>0</v>
      </c>
      <c r="N115" s="18">
        <f>'1st Innings'!N115</f>
        <v>0</v>
      </c>
      <c r="O115" s="18">
        <f>'1st Innings'!O115</f>
        <v>0</v>
      </c>
      <c r="P115" s="18">
        <f>'1st Innings'!P115</f>
        <v>0</v>
      </c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</row>
    <row r="116" spans="1:70">
      <c r="A116" s="18">
        <f>'1st Innings'!A116</f>
        <v>0</v>
      </c>
      <c r="B116" s="18">
        <f>'1st Innings'!B116</f>
        <v>0</v>
      </c>
      <c r="C116" s="18">
        <f>'1st Innings'!C116</f>
        <v>0</v>
      </c>
      <c r="D116" s="18">
        <f>'1st Innings'!D116</f>
        <v>0</v>
      </c>
      <c r="E116" s="18">
        <f>'1st Innings'!E116</f>
        <v>0</v>
      </c>
      <c r="F116" s="18">
        <f>'1st Innings'!F116</f>
        <v>0</v>
      </c>
      <c r="G116" s="18">
        <f>'1st Innings'!G116</f>
        <v>0</v>
      </c>
      <c r="H116" s="18">
        <f>'1st Innings'!H116</f>
        <v>0</v>
      </c>
      <c r="I116" s="18">
        <f>'1st Innings'!I116</f>
        <v>0</v>
      </c>
      <c r="J116" s="18">
        <f>'1st Innings'!J116</f>
        <v>0</v>
      </c>
      <c r="K116" s="18">
        <f>'1st Innings'!K116</f>
        <v>0</v>
      </c>
      <c r="L116" s="18">
        <f>'1st Innings'!L116</f>
        <v>0</v>
      </c>
      <c r="M116" s="18">
        <f>'1st Innings'!M116</f>
        <v>0</v>
      </c>
      <c r="N116" s="18">
        <f>'1st Innings'!N116</f>
        <v>0</v>
      </c>
      <c r="O116" s="18">
        <f>'1st Innings'!O116</f>
        <v>0</v>
      </c>
      <c r="P116" s="18">
        <f>'1st Innings'!P116</f>
        <v>0</v>
      </c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</row>
    <row r="117" spans="1:70">
      <c r="A117" s="18">
        <f>'1st Innings'!A117</f>
        <v>0</v>
      </c>
      <c r="B117" s="18">
        <f>'1st Innings'!B117</f>
        <v>0</v>
      </c>
      <c r="C117" s="18">
        <f>'1st Innings'!C117</f>
        <v>0</v>
      </c>
      <c r="D117" s="18">
        <f>'1st Innings'!D117</f>
        <v>0</v>
      </c>
      <c r="E117" s="18">
        <f>'1st Innings'!E117</f>
        <v>0</v>
      </c>
      <c r="F117" s="18">
        <f>'1st Innings'!F117</f>
        <v>0</v>
      </c>
      <c r="G117" s="18">
        <f>'1st Innings'!G117</f>
        <v>0</v>
      </c>
      <c r="H117" s="18">
        <f>'1st Innings'!H117</f>
        <v>0</v>
      </c>
      <c r="I117" s="18">
        <f>'1st Innings'!I117</f>
        <v>0</v>
      </c>
      <c r="J117" s="18">
        <f>'1st Innings'!J117</f>
        <v>0</v>
      </c>
      <c r="K117" s="18">
        <f>'1st Innings'!K117</f>
        <v>0</v>
      </c>
      <c r="L117" s="18">
        <f>'1st Innings'!L117</f>
        <v>0</v>
      </c>
      <c r="M117" s="18">
        <f>'1st Innings'!M117</f>
        <v>0</v>
      </c>
      <c r="N117" s="18">
        <f>'1st Innings'!N117</f>
        <v>0</v>
      </c>
      <c r="O117" s="18">
        <f>'1st Innings'!O117</f>
        <v>0</v>
      </c>
      <c r="P117" s="18">
        <f>'1st Innings'!P117</f>
        <v>0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</row>
    <row r="118" spans="1:70">
      <c r="A118" s="18">
        <f>'1st Innings'!A118</f>
        <v>0</v>
      </c>
      <c r="B118" s="18">
        <f>'1st Innings'!B118</f>
        <v>0</v>
      </c>
      <c r="C118" s="18">
        <f>'1st Innings'!C118</f>
        <v>0</v>
      </c>
      <c r="D118" s="18">
        <f>'1st Innings'!D118</f>
        <v>0</v>
      </c>
      <c r="E118" s="18">
        <f>'1st Innings'!E118</f>
        <v>0</v>
      </c>
      <c r="F118" s="18">
        <f>'1st Innings'!F118</f>
        <v>0</v>
      </c>
      <c r="G118" s="18">
        <f>'1st Innings'!G118</f>
        <v>0</v>
      </c>
      <c r="H118" s="18">
        <f>'1st Innings'!H118</f>
        <v>0</v>
      </c>
      <c r="I118" s="18">
        <f>'1st Innings'!I118</f>
        <v>0</v>
      </c>
      <c r="J118" s="18">
        <f>'1st Innings'!J118</f>
        <v>0</v>
      </c>
      <c r="K118" s="18">
        <f>'1st Innings'!K118</f>
        <v>0</v>
      </c>
      <c r="L118" s="18">
        <f>'1st Innings'!L118</f>
        <v>0</v>
      </c>
      <c r="M118" s="18">
        <f>'1st Innings'!M118</f>
        <v>0</v>
      </c>
      <c r="N118" s="18">
        <f>'1st Innings'!N118</f>
        <v>0</v>
      </c>
      <c r="O118" s="18">
        <f>'1st Innings'!O118</f>
        <v>0</v>
      </c>
      <c r="P118" s="18">
        <f>'1st Innings'!P118</f>
        <v>0</v>
      </c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</row>
    <row r="119" spans="1:70">
      <c r="A119" s="18">
        <f>'1st Innings'!A119</f>
        <v>0</v>
      </c>
      <c r="B119" s="18">
        <f>'1st Innings'!B119</f>
        <v>0</v>
      </c>
      <c r="C119" s="18">
        <f>'1st Innings'!C119</f>
        <v>0</v>
      </c>
      <c r="D119" s="18">
        <f>'1st Innings'!D119</f>
        <v>0</v>
      </c>
      <c r="E119" s="18">
        <f>'1st Innings'!E119</f>
        <v>0</v>
      </c>
      <c r="F119" s="18">
        <f>'1st Innings'!F119</f>
        <v>0</v>
      </c>
      <c r="G119" s="18">
        <f>'1st Innings'!G119</f>
        <v>0</v>
      </c>
      <c r="H119" s="18">
        <f>'1st Innings'!H119</f>
        <v>0</v>
      </c>
      <c r="I119" s="18">
        <f>'1st Innings'!I119</f>
        <v>0</v>
      </c>
      <c r="J119" s="18">
        <f>'1st Innings'!J119</f>
        <v>0</v>
      </c>
      <c r="K119" s="18">
        <f>'1st Innings'!K119</f>
        <v>0</v>
      </c>
      <c r="L119" s="18">
        <f>'1st Innings'!L119</f>
        <v>0</v>
      </c>
      <c r="M119" s="18">
        <f>'1st Innings'!M119</f>
        <v>0</v>
      </c>
      <c r="N119" s="18">
        <f>'1st Innings'!N119</f>
        <v>0</v>
      </c>
      <c r="O119" s="18">
        <f>'1st Innings'!O119</f>
        <v>0</v>
      </c>
      <c r="P119" s="18">
        <f>'1st Innings'!P119</f>
        <v>0</v>
      </c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</row>
    <row r="120" spans="1:70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</row>
    <row r="121" spans="1:70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</row>
    <row r="122" spans="1:70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</row>
    <row r="123" spans="1:70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</row>
    <row r="124" spans="1:70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</row>
    <row r="125" spans="1:70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</row>
    <row r="126" spans="1:70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</row>
    <row r="127" spans="1:70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</row>
    <row r="128" spans="1:70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</row>
    <row r="129" spans="1:70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</row>
    <row r="130" spans="1:70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</row>
    <row r="131" spans="1:70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</row>
    <row r="132" spans="1:70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</row>
    <row r="133" spans="1:70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</row>
    <row r="134" spans="1:70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</row>
    <row r="135" spans="1:70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</row>
    <row r="136" spans="1:70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</row>
    <row r="137" spans="1:70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</row>
    <row r="138" spans="1:70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</row>
    <row r="139" spans="1:70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</row>
    <row r="140" spans="1:70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</row>
    <row r="141" spans="1:70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</row>
    <row r="142" spans="1:70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</row>
    <row r="143" spans="1:70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</row>
    <row r="144" spans="1:70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</row>
    <row r="145" spans="1:70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</row>
    <row r="146" spans="1:70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</row>
    <row r="147" spans="1:70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</row>
    <row r="148" spans="1:70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</row>
    <row r="149" spans="1:70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</row>
    <row r="150" spans="1:70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</row>
    <row r="151" spans="1:70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</row>
    <row r="152" spans="1:70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</row>
    <row r="153" spans="1:70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</row>
    <row r="154" spans="1:70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</row>
    <row r="155" spans="1:70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</row>
    <row r="156" spans="1:70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</row>
    <row r="157" spans="1:70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</row>
    <row r="158" spans="1:70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</row>
    <row r="159" spans="1:70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</row>
    <row r="160" spans="1:70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</row>
    <row r="161" spans="1:70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</row>
    <row r="162" spans="1:70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</row>
    <row r="163" spans="1:70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</row>
    <row r="164" spans="1:70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</row>
    <row r="165" spans="1:70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</row>
    <row r="166" spans="1:70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</row>
    <row r="167" spans="1:70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</row>
    <row r="168" spans="1:70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</row>
    <row r="169" spans="1:70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</row>
    <row r="170" spans="1:70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</row>
    <row r="171" spans="1:70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</row>
    <row r="172" spans="1:70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</row>
    <row r="173" spans="1:70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</row>
    <row r="174" spans="1:70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</row>
    <row r="175" spans="1:70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</row>
    <row r="176" spans="1:70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</row>
    <row r="177" spans="1:70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</row>
    <row r="178" spans="1:70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</row>
    <row r="179" spans="1:70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</row>
    <row r="180" spans="1:70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</row>
    <row r="181" spans="1:70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</row>
    <row r="182" spans="1:70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</row>
    <row r="183" spans="1:70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</row>
    <row r="184" spans="1:70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</row>
    <row r="185" spans="1:70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</row>
    <row r="186" spans="1:70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</row>
    <row r="187" spans="1:70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</row>
    <row r="188" spans="1:70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</row>
    <row r="189" spans="1:70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</row>
    <row r="190" spans="1:70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</row>
    <row r="191" spans="1:70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</row>
    <row r="192" spans="1:70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</row>
    <row r="193" spans="1:70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</row>
    <row r="194" spans="1:70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</row>
    <row r="195" spans="1:70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</row>
    <row r="196" spans="1:70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</row>
    <row r="197" spans="1:70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</row>
    <row r="198" spans="1:70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</row>
    <row r="199" spans="1:70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</row>
    <row r="200" spans="1:70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</row>
    <row r="201" spans="1:70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</row>
    <row r="202" spans="1:70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</row>
    <row r="203" spans="1:70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</row>
    <row r="204" spans="1:70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</row>
    <row r="205" spans="1:70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</row>
    <row r="206" spans="1:70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</row>
    <row r="207" spans="1:70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</row>
    <row r="208" spans="1:70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</row>
    <row r="209" spans="1:70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</row>
    <row r="210" spans="1:70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</row>
    <row r="211" spans="1:70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</row>
    <row r="212" spans="1:70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</row>
    <row r="213" spans="1:70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</row>
    <row r="214" spans="1:70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</row>
    <row r="215" spans="1:70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</row>
    <row r="216" spans="1:70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</row>
    <row r="217" spans="1:70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</row>
    <row r="218" spans="1:70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</row>
    <row r="219" spans="1:70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</row>
    <row r="220" spans="1:70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</row>
    <row r="221" spans="1:70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</row>
    <row r="222" spans="1:70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</row>
    <row r="223" spans="1:70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</row>
    <row r="224" spans="1:70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</row>
    <row r="225" spans="1:70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</row>
    <row r="226" spans="1:70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</row>
    <row r="227" spans="1:70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</row>
    <row r="228" spans="1:70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</row>
    <row r="229" spans="1:70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</row>
    <row r="230" spans="1:70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</row>
    <row r="231" spans="1:70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</row>
    <row r="232" spans="1:70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</row>
    <row r="233" spans="1:70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</row>
    <row r="234" spans="1:70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</row>
    <row r="235" spans="1:70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</row>
    <row r="236" spans="1:70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</row>
    <row r="237" spans="1:70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</row>
    <row r="238" spans="1:70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</row>
    <row r="239" spans="1:70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</row>
    <row r="240" spans="1:70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</row>
    <row r="241" spans="1:70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</row>
    <row r="242" spans="1:70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</row>
    <row r="243" spans="1:70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</row>
    <row r="244" spans="1:70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</row>
    <row r="245" spans="1:70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</row>
    <row r="246" spans="1:70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</row>
    <row r="247" spans="1:70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</row>
    <row r="248" spans="1:70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</row>
    <row r="249" spans="1:70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</row>
    <row r="250" spans="1:70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</row>
    <row r="251" spans="1:70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</row>
    <row r="252" spans="1:70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</row>
    <row r="253" spans="1:70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</row>
    <row r="254" spans="1:70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</row>
    <row r="255" spans="1:70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</row>
    <row r="256" spans="1:70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</row>
    <row r="257" spans="1:70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</row>
    <row r="258" spans="1:70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</row>
    <row r="259" spans="1:70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</row>
    <row r="260" spans="1:70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</row>
    <row r="261" spans="1:70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</row>
    <row r="262" spans="1:70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</row>
    <row r="263" spans="1:70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</row>
    <row r="264" spans="1:70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</row>
    <row r="265" spans="1:70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</row>
    <row r="266" spans="1:70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</row>
    <row r="267" spans="1:70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</row>
    <row r="268" spans="1:70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</row>
    <row r="269" spans="1:70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</row>
    <row r="270" spans="1:70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</row>
    <row r="271" spans="1:70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</row>
    <row r="272" spans="1:70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</row>
    <row r="273" spans="1:70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</row>
    <row r="274" spans="1:70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</row>
    <row r="275" spans="1:70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</row>
    <row r="276" spans="1:70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</row>
    <row r="277" spans="1:70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</row>
    <row r="278" spans="1:70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</row>
    <row r="279" spans="1:70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</row>
    <row r="280" spans="1:70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</row>
    <row r="281" spans="1:70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</row>
    <row r="282" spans="1:70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</row>
    <row r="283" spans="1:70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</row>
    <row r="284" spans="1:70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</row>
    <row r="285" spans="1:70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</row>
    <row r="286" spans="1:70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</row>
    <row r="287" spans="1:70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</row>
    <row r="288" spans="1:70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</row>
    <row r="289" spans="1:70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</row>
    <row r="290" spans="1:70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</row>
    <row r="291" spans="1:70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</row>
    <row r="292" spans="1:70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</row>
    <row r="293" spans="1:70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</row>
    <row r="294" spans="1:70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</row>
    <row r="295" spans="1:70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</row>
    <row r="296" spans="1:70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</row>
    <row r="297" spans="1:70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</row>
    <row r="298" spans="1:70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</row>
    <row r="299" spans="1:70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</row>
    <row r="300" spans="1:70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</row>
    <row r="301" spans="1:70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</row>
    <row r="302" spans="1:70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</row>
    <row r="303" spans="1:70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</row>
    <row r="304" spans="1:70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</row>
    <row r="305" spans="1:70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</row>
    <row r="306" spans="1:70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</row>
    <row r="307" spans="1:70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</row>
    <row r="308" spans="1:70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</row>
    <row r="309" spans="1:70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</row>
    <row r="310" spans="1:70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</row>
    <row r="311" spans="1:70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</row>
    <row r="312" spans="1:70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</row>
    <row r="313" spans="1:70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</row>
    <row r="314" spans="1:70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</row>
    <row r="315" spans="1:70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</row>
    <row r="316" spans="1:70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</row>
    <row r="317" spans="1:70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</row>
    <row r="318" spans="1:70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</row>
    <row r="319" spans="1:70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</row>
    <row r="320" spans="1:70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</row>
    <row r="321" spans="1:70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</row>
    <row r="322" spans="1:70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</row>
    <row r="323" spans="1:70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</row>
    <row r="324" spans="1:70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</row>
    <row r="325" spans="1:70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</row>
    <row r="326" spans="1:70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</row>
    <row r="327" spans="1:70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</row>
    <row r="328" spans="1:70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</row>
    <row r="329" spans="1:70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</row>
    <row r="330" spans="1:70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</row>
    <row r="331" spans="1:70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</row>
    <row r="332" spans="1:70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</row>
    <row r="333" spans="1:70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</row>
    <row r="334" spans="1:70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</row>
    <row r="335" spans="1:70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</row>
    <row r="336" spans="1:70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</row>
    <row r="337" spans="1:70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</row>
    <row r="338" spans="1:70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</row>
    <row r="339" spans="1:70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</row>
    <row r="340" spans="1:70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</row>
    <row r="341" spans="1:70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</row>
    <row r="342" spans="1:70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</row>
    <row r="343" spans="1:70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</row>
    <row r="344" spans="1:70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</row>
    <row r="345" spans="1:70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</row>
    <row r="346" spans="1:70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</row>
    <row r="347" spans="1:70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</row>
    <row r="348" spans="1:70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</row>
    <row r="349" spans="1:70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</row>
    <row r="350" spans="1:70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</row>
    <row r="351" spans="1:70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</row>
    <row r="352" spans="1:70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</row>
    <row r="353" spans="1:70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</row>
    <row r="354" spans="1:70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</row>
    <row r="355" spans="1:70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</row>
    <row r="356" spans="1:70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</row>
    <row r="357" spans="1:70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</row>
    <row r="358" spans="1:70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</row>
    <row r="359" spans="1:70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</row>
    <row r="360" spans="1:70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</row>
    <row r="361" spans="1:70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</row>
    <row r="362" spans="1:70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</row>
    <row r="363" spans="1:70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</row>
    <row r="364" spans="1:70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</row>
    <row r="365" spans="1:70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</row>
    <row r="366" spans="1:70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</row>
    <row r="367" spans="1:70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</row>
    <row r="368" spans="1:70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</row>
    <row r="369" spans="1:70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</row>
    <row r="370" spans="1:70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</row>
    <row r="371" spans="1:70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</row>
    <row r="372" spans="1:70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</row>
    <row r="373" spans="1:70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M373" s="61"/>
      <c r="N373" s="61"/>
      <c r="O373" s="61"/>
      <c r="P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</row>
  </sheetData>
  <sheetProtection password="C2B7" sheet="1" objects="1" scenarios="1" selectLockedCells="1"/>
  <mergeCells count="1">
    <mergeCell ref="A1:P1"/>
  </mergeCells>
  <dataValidations count="24">
    <dataValidation type="list" errorStyle="warning" allowBlank="1" showInputMessage="1" showErrorMessage="1" prompt="Use drop down box to select from your team list once Team 1 in selected in cell B3_x000a_" sqref="B8">
      <formula1>INDIRECT(B4)</formula1>
    </dataValidation>
    <dataValidation type="list" allowBlank="1" showInputMessage="1" showErrorMessage="1" sqref="F4">
      <formula1>$B$40:$B$41</formula1>
    </dataValidation>
    <dataValidation type="list" allowBlank="1" showInputMessage="1" showErrorMessage="1" sqref="F3">
      <formula1>$B$3:$B$4</formula1>
    </dataValidation>
    <dataValidation type="list" errorStyle="warning" allowBlank="1" showInputMessage="1" showErrorMessage="1" prompt="Use drop down box to select from your team list once Team 1 in selected in cell B3_x000a_" sqref="B9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0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1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2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3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4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5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6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7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8">
      <formula1>INDIRECT(B4)</formula1>
    </dataValidation>
    <dataValidation type="list" errorStyle="warning" allowBlank="1" showInputMessage="1" showErrorMessage="1" prompt="Use drop down box to select from your team list once Team 1 in selected in cell B3_x000a_" sqref="B19">
      <formula1>INDIRECT(B$4)</formula1>
    </dataValidation>
    <dataValidation type="list" allowBlank="1" showInputMessage="1" showErrorMessage="1" sqref="D8:D18 D26:D36">
      <formula1>INDIRECT(B$3)</formula1>
    </dataValidation>
    <dataValidation type="list" allowBlank="1" showInputMessage="1" showErrorMessage="1" sqref="C8:C18">
      <formula1>$C$45:$C$53</formula1>
    </dataValidation>
    <dataValidation type="list" allowBlank="1" showInputMessage="1" showErrorMessage="1" sqref="B5">
      <formula1>$B$45:$B$50</formula1>
    </dataValidation>
    <dataValidation type="list" allowBlank="1" showInputMessage="1" showErrorMessage="1" sqref="B2">
      <formula1>$C$40:$C$42</formula1>
    </dataValidation>
    <dataValidation type="list" allowBlank="1" showInputMessage="1" showErrorMessage="1" sqref="B4">
      <formula1>$A$40:$A$55</formula1>
    </dataValidation>
    <dataValidation type="list" allowBlank="1" showInputMessage="1" showErrorMessage="1" sqref="E8:E18">
      <formula1>$D$26:$D$36</formula1>
    </dataValidation>
    <dataValidation type="list" allowBlank="1" showInputMessage="1" showErrorMessage="1" sqref="O8:P18">
      <formula1>$B$8:$B$18</formula1>
    </dataValidation>
    <dataValidation type="list" allowBlank="1" showInputMessage="1" showErrorMessage="1" sqref="B3">
      <formula1>$A$40:$A$55</formula1>
    </dataValidation>
    <dataValidation type="list" allowBlank="1" showInputMessage="1" showErrorMessage="1" sqref="F22">
      <formula1>$D$45:$D$48</formula1>
    </dataValidation>
    <dataValidation type="list" allowBlank="1" showInputMessage="1" showErrorMessage="1" sqref="C34:C35">
      <formula1>INDIRECT(B$3)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opLeftCell="A32" workbookViewId="0">
      <selection activeCell="A47" sqref="A47"/>
    </sheetView>
  </sheetViews>
  <sheetFormatPr defaultRowHeight="15"/>
  <sheetData>
    <row r="1" spans="1:1">
      <c r="A1" s="64" t="s">
        <v>313</v>
      </c>
    </row>
    <row r="2" spans="1:1">
      <c r="A2" t="s">
        <v>314</v>
      </c>
    </row>
    <row r="3" spans="1:1">
      <c r="A3" t="s">
        <v>315</v>
      </c>
    </row>
    <row r="4" spans="1:1">
      <c r="A4" t="s">
        <v>316</v>
      </c>
    </row>
    <row r="6" spans="1:1">
      <c r="A6" s="64" t="s">
        <v>312</v>
      </c>
    </row>
    <row r="7" spans="1:1">
      <c r="A7" t="s">
        <v>318</v>
      </c>
    </row>
    <row r="8" spans="1:1">
      <c r="A8" t="s">
        <v>289</v>
      </c>
    </row>
    <row r="9" spans="1:1">
      <c r="A9" t="s">
        <v>414</v>
      </c>
    </row>
    <row r="10" spans="1:1">
      <c r="A10" t="s">
        <v>319</v>
      </c>
    </row>
    <row r="11" spans="1:1">
      <c r="A11" t="s">
        <v>290</v>
      </c>
    </row>
    <row r="12" spans="1:1">
      <c r="A12" t="s">
        <v>292</v>
      </c>
    </row>
    <row r="13" spans="1:1">
      <c r="A13" t="s">
        <v>415</v>
      </c>
    </row>
    <row r="14" spans="1:1">
      <c r="A14" t="s">
        <v>291</v>
      </c>
    </row>
    <row r="15" spans="1:1">
      <c r="A15" t="s">
        <v>299</v>
      </c>
    </row>
    <row r="17" spans="1:12">
      <c r="A17" s="64" t="s">
        <v>311</v>
      </c>
    </row>
    <row r="18" spans="1:12">
      <c r="A18" t="s">
        <v>296</v>
      </c>
      <c r="B18" t="s">
        <v>358</v>
      </c>
    </row>
    <row r="19" spans="1:12">
      <c r="A19" t="s">
        <v>293</v>
      </c>
      <c r="B19" t="s">
        <v>621</v>
      </c>
    </row>
    <row r="20" spans="1:12">
      <c r="A20" t="s">
        <v>294</v>
      </c>
      <c r="B20" t="s">
        <v>303</v>
      </c>
    </row>
    <row r="21" spans="1:12">
      <c r="A21" t="s">
        <v>295</v>
      </c>
      <c r="B21" t="s">
        <v>301</v>
      </c>
    </row>
    <row r="22" spans="1:12">
      <c r="A22" t="s">
        <v>297</v>
      </c>
      <c r="B22" t="s">
        <v>302</v>
      </c>
    </row>
    <row r="23" spans="1:12">
      <c r="A23" t="s">
        <v>298</v>
      </c>
      <c r="B23" t="s">
        <v>622</v>
      </c>
    </row>
    <row r="24" spans="1:12">
      <c r="A24" t="s">
        <v>300</v>
      </c>
      <c r="K24" t="s">
        <v>304</v>
      </c>
      <c r="L24" t="s">
        <v>624</v>
      </c>
    </row>
    <row r="25" spans="1:12">
      <c r="L25" t="s">
        <v>623</v>
      </c>
    </row>
    <row r="47" spans="1:2">
      <c r="A47" t="s">
        <v>305</v>
      </c>
      <c r="B47" t="s">
        <v>306</v>
      </c>
    </row>
    <row r="49" spans="1:1">
      <c r="A49" s="64" t="s">
        <v>308</v>
      </c>
    </row>
    <row r="50" spans="1:1">
      <c r="A50" s="63" t="s">
        <v>310</v>
      </c>
    </row>
    <row r="51" spans="1:1">
      <c r="A51" s="63" t="s">
        <v>309</v>
      </c>
    </row>
    <row r="52" spans="1:1">
      <c r="A52" s="63" t="s">
        <v>317</v>
      </c>
    </row>
    <row r="53" spans="1:1">
      <c r="A53" s="7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workbookViewId="0">
      <selection activeCell="D57" sqref="A34:D57"/>
    </sheetView>
  </sheetViews>
  <sheetFormatPr defaultRowHeight="15"/>
  <cols>
    <col min="4" max="4" width="28.7109375" customWidth="1"/>
    <col min="6" max="6" width="14" customWidth="1"/>
    <col min="7" max="7" width="13.28515625" customWidth="1"/>
    <col min="10" max="10" width="12.140625" customWidth="1"/>
    <col min="12" max="12" width="39.5703125" customWidth="1"/>
    <col min="14" max="14" width="12.42578125" customWidth="1"/>
  </cols>
  <sheetData>
    <row r="1" spans="1:18" ht="15.75" thickBot="1"/>
    <row r="2" spans="1:18" ht="15.75" thickBot="1">
      <c r="A2" t="s">
        <v>325</v>
      </c>
      <c r="C2" s="65" t="s">
        <v>326</v>
      </c>
      <c r="D2" s="66"/>
      <c r="F2" s="65" t="s">
        <v>327</v>
      </c>
      <c r="G2" s="68"/>
      <c r="I2" s="65" t="s">
        <v>328</v>
      </c>
      <c r="J2" s="66"/>
      <c r="M2" s="69" t="s">
        <v>37</v>
      </c>
      <c r="N2" s="69" t="s">
        <v>333</v>
      </c>
      <c r="O2" s="69" t="s">
        <v>60</v>
      </c>
      <c r="P2" s="69" t="s">
        <v>334</v>
      </c>
      <c r="Q2" s="69" t="s">
        <v>336</v>
      </c>
      <c r="R2" s="69" t="s">
        <v>345</v>
      </c>
    </row>
    <row r="3" spans="1:18" ht="15.75" thickBot="1">
      <c r="A3" t="s">
        <v>324</v>
      </c>
      <c r="C3" s="65" t="s">
        <v>326</v>
      </c>
      <c r="D3" s="67"/>
      <c r="F3" s="65" t="s">
        <v>327</v>
      </c>
      <c r="G3" s="66"/>
      <c r="I3" s="65" t="s">
        <v>328</v>
      </c>
      <c r="J3" s="67"/>
      <c r="M3" s="70" t="s">
        <v>332</v>
      </c>
      <c r="N3" s="71" t="s">
        <v>58</v>
      </c>
      <c r="O3" s="72" t="s">
        <v>61</v>
      </c>
      <c r="P3" s="71" t="s">
        <v>335</v>
      </c>
      <c r="Q3" s="71" t="s">
        <v>337</v>
      </c>
      <c r="R3" s="71" t="s">
        <v>343</v>
      </c>
    </row>
    <row r="4" spans="1:18" ht="15.75" thickBot="1">
      <c r="A4" t="s">
        <v>322</v>
      </c>
      <c r="D4" s="66"/>
      <c r="M4" s="70" t="s">
        <v>38</v>
      </c>
      <c r="N4" s="71" t="s">
        <v>340</v>
      </c>
      <c r="O4" s="71" t="s">
        <v>44</v>
      </c>
      <c r="P4" s="71" t="s">
        <v>51</v>
      </c>
      <c r="Q4" s="71" t="s">
        <v>338</v>
      </c>
      <c r="R4" s="71" t="s">
        <v>344</v>
      </c>
    </row>
    <row r="5" spans="1:18" ht="15.75" thickBot="1">
      <c r="A5" t="s">
        <v>0</v>
      </c>
      <c r="D5" s="66"/>
      <c r="M5" s="71" t="s">
        <v>39</v>
      </c>
      <c r="N5" s="71" t="s">
        <v>13</v>
      </c>
      <c r="O5" s="71" t="s">
        <v>62</v>
      </c>
      <c r="P5" s="71"/>
      <c r="Q5" s="71" t="s">
        <v>339</v>
      </c>
      <c r="R5" s="71" t="s">
        <v>357</v>
      </c>
    </row>
    <row r="6" spans="1:18" ht="15.75" thickBot="1">
      <c r="A6" t="s">
        <v>60</v>
      </c>
      <c r="D6" s="66"/>
      <c r="M6" s="71" t="s">
        <v>40</v>
      </c>
      <c r="N6" s="71" t="s">
        <v>341</v>
      </c>
      <c r="O6" s="71" t="s">
        <v>63</v>
      </c>
      <c r="P6" s="71"/>
      <c r="Q6" s="71"/>
      <c r="R6" s="71"/>
    </row>
    <row r="7" spans="1:18" ht="15.75" thickBot="1">
      <c r="A7" t="s">
        <v>37</v>
      </c>
      <c r="D7" s="66"/>
      <c r="E7" s="1" t="s">
        <v>323</v>
      </c>
      <c r="F7" s="66"/>
      <c r="M7" s="71" t="s">
        <v>41</v>
      </c>
      <c r="N7" s="71" t="s">
        <v>342</v>
      </c>
      <c r="O7" s="71" t="s">
        <v>64</v>
      </c>
      <c r="P7" s="71"/>
      <c r="Q7" s="71"/>
      <c r="R7" s="71"/>
    </row>
    <row r="8" spans="1:18" ht="15.75" thickBot="1">
      <c r="A8" t="s">
        <v>320</v>
      </c>
      <c r="D8" s="66"/>
      <c r="M8" s="71" t="s">
        <v>42</v>
      </c>
      <c r="N8" s="71"/>
      <c r="O8" s="71" t="s">
        <v>65</v>
      </c>
      <c r="P8" s="71"/>
      <c r="Q8" s="71"/>
      <c r="R8" s="71"/>
    </row>
    <row r="9" spans="1:18" ht="15.75" thickBot="1">
      <c r="A9" t="s">
        <v>321</v>
      </c>
      <c r="D9" s="66"/>
      <c r="M9" s="71" t="s">
        <v>43</v>
      </c>
      <c r="N9" s="71"/>
      <c r="O9" s="71"/>
      <c r="P9" s="71"/>
      <c r="Q9" s="71"/>
      <c r="R9" s="71"/>
    </row>
    <row r="10" spans="1:18" ht="15.75" thickBot="1">
      <c r="A10" t="s">
        <v>329</v>
      </c>
      <c r="M10" s="71" t="s">
        <v>89</v>
      </c>
      <c r="N10" s="71"/>
      <c r="O10" s="71"/>
      <c r="P10" s="71"/>
      <c r="Q10" s="71"/>
      <c r="R10" s="71"/>
    </row>
    <row r="11" spans="1:18" ht="15.75" thickBot="1">
      <c r="A11" t="s">
        <v>330</v>
      </c>
      <c r="D11" s="65" t="s">
        <v>355</v>
      </c>
      <c r="E11" s="66"/>
      <c r="F11" s="65" t="s">
        <v>356</v>
      </c>
      <c r="G11" s="66"/>
      <c r="M11" s="71" t="s">
        <v>44</v>
      </c>
      <c r="N11" s="71"/>
      <c r="O11" s="71"/>
      <c r="P11" s="71"/>
      <c r="Q11" s="71"/>
      <c r="R11" s="71"/>
    </row>
    <row r="12" spans="1:18" ht="15.75" thickBot="1">
      <c r="A12" t="s">
        <v>331</v>
      </c>
      <c r="E12" s="67"/>
      <c r="M12" s="71" t="s">
        <v>90</v>
      </c>
      <c r="N12" s="71"/>
      <c r="O12" s="71"/>
      <c r="P12" s="71"/>
      <c r="Q12" s="71"/>
      <c r="R12" s="71"/>
    </row>
    <row r="13" spans="1:18" ht="15.75" thickBot="1">
      <c r="A13" t="s">
        <v>346</v>
      </c>
      <c r="E13" s="66"/>
      <c r="M13" s="71" t="s">
        <v>45</v>
      </c>
      <c r="N13" s="71"/>
      <c r="O13" s="71"/>
      <c r="P13" s="71"/>
      <c r="Q13" s="71"/>
      <c r="R13" s="71"/>
    </row>
    <row r="14" spans="1:18">
      <c r="M14" s="71" t="s">
        <v>91</v>
      </c>
      <c r="N14" s="71"/>
      <c r="O14" s="71"/>
      <c r="P14" s="71"/>
      <c r="Q14" s="71"/>
      <c r="R14" s="71"/>
    </row>
    <row r="15" spans="1:18" ht="15.75" thickBot="1">
      <c r="A15" t="s">
        <v>347</v>
      </c>
      <c r="F15" t="s">
        <v>354</v>
      </c>
      <c r="M15" s="71" t="s">
        <v>92</v>
      </c>
      <c r="N15" s="71"/>
      <c r="O15" s="71"/>
      <c r="P15" s="71"/>
      <c r="Q15" s="71"/>
      <c r="R15" s="71"/>
    </row>
    <row r="16" spans="1:18" ht="15.75" thickBot="1">
      <c r="A16" t="s">
        <v>348</v>
      </c>
      <c r="D16" s="2"/>
      <c r="F16" s="177"/>
      <c r="G16" s="178"/>
      <c r="H16" s="178"/>
      <c r="I16" s="178"/>
      <c r="J16" s="178"/>
      <c r="K16" s="178"/>
      <c r="L16" s="179"/>
      <c r="M16" s="71" t="s">
        <v>93</v>
      </c>
      <c r="N16" s="71"/>
      <c r="O16" s="71"/>
      <c r="P16" s="71"/>
      <c r="Q16" s="71"/>
      <c r="R16" s="71"/>
    </row>
    <row r="17" spans="1:18" ht="15.75" thickBot="1">
      <c r="A17" t="s">
        <v>349</v>
      </c>
      <c r="D17" s="2"/>
      <c r="F17" s="174"/>
      <c r="G17" s="175"/>
      <c r="H17" s="175"/>
      <c r="I17" s="175"/>
      <c r="J17" s="175"/>
      <c r="K17" s="175"/>
      <c r="L17" s="176"/>
      <c r="M17" s="71" t="s">
        <v>46</v>
      </c>
      <c r="N17" s="71"/>
      <c r="O17" s="71"/>
      <c r="P17" s="71"/>
      <c r="Q17" s="71"/>
      <c r="R17" s="71"/>
    </row>
    <row r="18" spans="1:18" ht="15.75" thickBot="1">
      <c r="A18" t="s">
        <v>350</v>
      </c>
      <c r="D18" s="2"/>
      <c r="F18" s="180"/>
      <c r="G18" s="181"/>
      <c r="H18" s="181"/>
      <c r="I18" s="181"/>
      <c r="J18" s="181"/>
      <c r="K18" s="181"/>
      <c r="L18" s="182"/>
      <c r="M18" s="71" t="s">
        <v>47</v>
      </c>
      <c r="N18" s="71"/>
      <c r="O18" s="71"/>
      <c r="P18" s="71"/>
      <c r="Q18" s="71"/>
      <c r="R18" s="71"/>
    </row>
    <row r="19" spans="1:18" ht="15.75" thickBot="1">
      <c r="A19" t="s">
        <v>351</v>
      </c>
      <c r="D19" s="2"/>
      <c r="F19" s="174"/>
      <c r="G19" s="175"/>
      <c r="H19" s="175"/>
      <c r="I19" s="175"/>
      <c r="J19" s="175"/>
      <c r="K19" s="175"/>
      <c r="L19" s="176"/>
      <c r="M19" s="71" t="s">
        <v>48</v>
      </c>
      <c r="N19" s="71"/>
      <c r="O19" s="71"/>
      <c r="P19" s="71"/>
      <c r="Q19" s="71"/>
      <c r="R19" s="71"/>
    </row>
    <row r="20" spans="1:18" ht="15.75" thickBot="1">
      <c r="A20" t="s">
        <v>352</v>
      </c>
      <c r="D20" s="2"/>
      <c r="F20" s="183"/>
      <c r="G20" s="184"/>
      <c r="H20" s="184"/>
      <c r="I20" s="184"/>
      <c r="J20" s="184"/>
      <c r="K20" s="184"/>
      <c r="L20" s="185"/>
    </row>
    <row r="21" spans="1:18" ht="15.75" thickBot="1">
      <c r="A21" t="s">
        <v>353</v>
      </c>
      <c r="D21" s="2"/>
      <c r="F21" s="174"/>
      <c r="G21" s="175"/>
      <c r="H21" s="175"/>
      <c r="I21" s="175"/>
      <c r="J21" s="175"/>
      <c r="K21" s="175"/>
      <c r="L21" s="176"/>
    </row>
    <row r="34" spans="1:6">
      <c r="A34" s="189"/>
      <c r="B34" s="189"/>
      <c r="C34" s="189"/>
      <c r="D34" s="190"/>
      <c r="F34" s="64"/>
    </row>
    <row r="35" spans="1:6">
      <c r="A35" s="189"/>
      <c r="B35" s="189"/>
      <c r="C35" s="189"/>
      <c r="D35" s="190"/>
    </row>
    <row r="36" spans="1:6">
      <c r="A36" s="189"/>
      <c r="B36" s="189"/>
      <c r="C36" s="189"/>
      <c r="D36" s="190"/>
    </row>
    <row r="37" spans="1:6">
      <c r="A37" s="189"/>
      <c r="B37" s="189"/>
      <c r="C37" s="189"/>
      <c r="D37" s="190"/>
      <c r="F37" s="64"/>
    </row>
    <row r="38" spans="1:6">
      <c r="A38" s="189"/>
      <c r="B38" s="189"/>
      <c r="C38" s="189"/>
      <c r="D38" s="190"/>
    </row>
    <row r="39" spans="1:6">
      <c r="A39" s="189"/>
      <c r="B39" s="189"/>
      <c r="C39" s="189"/>
      <c r="D39" s="190"/>
    </row>
    <row r="40" spans="1:6">
      <c r="A40" s="189"/>
      <c r="B40" s="189"/>
      <c r="C40" s="189"/>
      <c r="D40" s="190"/>
      <c r="F40" s="166"/>
    </row>
    <row r="41" spans="1:6">
      <c r="A41" s="189"/>
      <c r="B41" s="189"/>
      <c r="C41" s="189"/>
      <c r="D41" s="190"/>
    </row>
    <row r="42" spans="1:6">
      <c r="A42" s="189"/>
      <c r="B42" s="189"/>
      <c r="C42" s="189"/>
      <c r="D42" s="190"/>
    </row>
    <row r="43" spans="1:6">
      <c r="A43" s="189"/>
      <c r="B43" s="189"/>
      <c r="C43" s="189"/>
      <c r="D43" s="190"/>
      <c r="F43" s="64"/>
    </row>
    <row r="44" spans="1:6">
      <c r="A44" s="189"/>
      <c r="B44" s="189"/>
      <c r="C44" s="189"/>
      <c r="D44" s="190"/>
    </row>
    <row r="45" spans="1:6">
      <c r="A45" s="189"/>
      <c r="B45" s="189"/>
      <c r="C45" s="189"/>
      <c r="D45" s="190"/>
    </row>
    <row r="46" spans="1:6">
      <c r="A46" s="189"/>
      <c r="B46" s="189"/>
      <c r="C46" s="189"/>
      <c r="D46" s="190"/>
      <c r="F46" s="64"/>
    </row>
    <row r="47" spans="1:6">
      <c r="A47" s="189"/>
      <c r="B47" s="189"/>
      <c r="C47" s="189"/>
      <c r="D47" s="190"/>
    </row>
    <row r="48" spans="1:6">
      <c r="A48" s="189"/>
      <c r="B48" s="189"/>
      <c r="C48" s="189"/>
      <c r="D48" s="190"/>
    </row>
    <row r="49" spans="1:6">
      <c r="A49" s="189"/>
      <c r="B49" s="189"/>
      <c r="C49" s="189"/>
      <c r="D49" s="190"/>
      <c r="F49" s="166"/>
    </row>
    <row r="50" spans="1:6">
      <c r="A50" s="189"/>
      <c r="B50" s="189"/>
      <c r="C50" s="189"/>
      <c r="D50" s="190"/>
    </row>
    <row r="51" spans="1:6">
      <c r="A51" s="189"/>
      <c r="B51" s="189"/>
      <c r="C51" s="189"/>
      <c r="D51" s="190"/>
      <c r="F51" s="64"/>
    </row>
    <row r="52" spans="1:6">
      <c r="A52" s="189"/>
      <c r="B52" s="189"/>
      <c r="C52" s="189"/>
      <c r="D52" s="190"/>
      <c r="F52" s="64"/>
    </row>
    <row r="53" spans="1:6">
      <c r="A53" s="189"/>
      <c r="B53" s="189"/>
      <c r="C53" s="189"/>
      <c r="D53" s="190"/>
    </row>
    <row r="54" spans="1:6">
      <c r="A54" s="189"/>
      <c r="B54" s="189"/>
      <c r="C54" s="189"/>
      <c r="D54" s="190"/>
    </row>
    <row r="55" spans="1:6">
      <c r="A55" s="189"/>
      <c r="B55" s="189"/>
      <c r="C55" s="189"/>
      <c r="D55" s="190"/>
    </row>
    <row r="56" spans="1:6">
      <c r="A56" s="189"/>
      <c r="B56" s="189"/>
      <c r="C56" s="189"/>
      <c r="D56" s="190"/>
    </row>
    <row r="57" spans="1:6">
      <c r="A57" s="189"/>
      <c r="B57" s="189"/>
      <c r="C57" s="189"/>
      <c r="D57" s="189"/>
    </row>
  </sheetData>
  <sortState ref="D34:D55">
    <sortCondition ref="D34"/>
  </sortState>
  <mergeCells count="6">
    <mergeCell ref="F21:L21"/>
    <mergeCell ref="F16:L16"/>
    <mergeCell ref="F17:L17"/>
    <mergeCell ref="F18:L18"/>
    <mergeCell ref="F19:L19"/>
    <mergeCell ref="F20:L20"/>
  </mergeCells>
  <dataValidations disablePrompts="1" count="8">
    <dataValidation type="list" allowBlank="1" showInputMessage="1" showErrorMessage="1" sqref="D16:D21">
      <formula1>$R$3:$R$4</formula1>
    </dataValidation>
    <dataValidation type="list" allowBlank="1" showInputMessage="1" showErrorMessage="1" sqref="G2:G3">
      <formula1>$M$3:$M$19</formula1>
    </dataValidation>
    <dataValidation type="list" allowBlank="1" showInputMessage="1" showErrorMessage="1" sqref="D7:D8 F7">
      <formula1>$M$4:$M$19</formula1>
    </dataValidation>
    <dataValidation type="list" allowBlank="1" showInputMessage="1" showErrorMessage="1" sqref="D6">
      <formula1>$O$3:$O$8</formula1>
    </dataValidation>
    <dataValidation type="list" allowBlank="1" showInputMessage="1" showErrorMessage="1" sqref="D9">
      <formula1>$P$3:$P$4</formula1>
    </dataValidation>
    <dataValidation type="list" allowBlank="1" showInputMessage="1" showErrorMessage="1" sqref="D4">
      <formula1>$N$3:$N$7</formula1>
    </dataValidation>
    <dataValidation type="list" allowBlank="1" showInputMessage="1" showErrorMessage="1" sqref="J2:J3">
      <formula1>$Q$3:$Q$5</formula1>
    </dataValidation>
    <dataValidation type="list" allowBlank="1" showInputMessage="1" showErrorMessage="1" sqref="E11:E13 G11">
      <formula1>$R$3:$R$5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1st Innings</vt:lpstr>
      <vt:lpstr>2nd Innings</vt:lpstr>
      <vt:lpstr>READ ME Notes</vt:lpstr>
      <vt:lpstr>Umpires Report</vt:lpstr>
      <vt:lpstr>'2nd Innings'!Barbarians</vt:lpstr>
      <vt:lpstr>Barbarians</vt:lpstr>
      <vt:lpstr>'2nd Innings'!Ceylon</vt:lpstr>
      <vt:lpstr>Ceylon</vt:lpstr>
      <vt:lpstr>'2nd Innings'!ChairosTigers</vt:lpstr>
      <vt:lpstr>ChairosTigers</vt:lpstr>
      <vt:lpstr>'2nd Innings'!Challengers</vt:lpstr>
      <vt:lpstr>Challengers</vt:lpstr>
      <vt:lpstr>'2nd Innings'!Emerio</vt:lpstr>
      <vt:lpstr>Emerio</vt:lpstr>
      <vt:lpstr>'2nd Innings'!FezRebels</vt:lpstr>
      <vt:lpstr>FezRebels</vt:lpstr>
      <vt:lpstr>'2nd Innings'!GMIS</vt:lpstr>
      <vt:lpstr>GMIS</vt:lpstr>
      <vt:lpstr>'2nd Innings'!Indorama</vt:lpstr>
      <vt:lpstr>Indorama</vt:lpstr>
      <vt:lpstr>'2nd Innings'!Jaguars</vt:lpstr>
      <vt:lpstr>Jaguars</vt:lpstr>
      <vt:lpstr>'2nd Innings'!Mavecrics</vt:lpstr>
      <vt:lpstr>Mavecrics</vt:lpstr>
      <vt:lpstr>'2nd Innings'!Menara</vt:lpstr>
      <vt:lpstr>Menara</vt:lpstr>
      <vt:lpstr>'2nd Innings'!MetroIndians</vt:lpstr>
      <vt:lpstr>MetroIndians</vt:lpstr>
      <vt:lpstr>'2nd Innings'!SenayanCC</vt:lpstr>
      <vt:lpstr>SenayanCC</vt:lpstr>
      <vt:lpstr>'2nd Innings'!TKCC</vt:lpstr>
      <vt:lpstr>TKCC</vt:lpstr>
      <vt:lpstr>'2nd Innings'!WISCI</vt:lpstr>
      <vt:lpstr>WISCI</vt:lpstr>
      <vt:lpstr>'2nd Innings'!WPPIndia</vt:lpstr>
      <vt:lpstr>WPPIndia</vt:lpstr>
    </vt:vector>
  </TitlesOfParts>
  <Company>BLACK EDITION - tum0r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user35</cp:lastModifiedBy>
  <dcterms:created xsi:type="dcterms:W3CDTF">2015-06-15T05:32:57Z</dcterms:created>
  <dcterms:modified xsi:type="dcterms:W3CDTF">2015-08-22T15:06:27Z</dcterms:modified>
</cp:coreProperties>
</file>